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Diciembre\"/>
    </mc:Choice>
  </mc:AlternateContent>
  <xr:revisionPtr revIDLastSave="0" documentId="8_{CF19949B-AD8C-4F14-B390-64D1E880C5D2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Diciembre 2023" sheetId="2" r:id="rId1"/>
  </sheets>
  <definedNames>
    <definedName name="_xlnm.Print_Area" localSheetId="0">'Diciembre 2023'!$A$1:$O$110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2" l="1"/>
  <c r="O90" i="2"/>
  <c r="O89" i="2"/>
  <c r="O88" i="2"/>
  <c r="O86" i="2"/>
  <c r="O85" i="2"/>
  <c r="O84" i="2"/>
  <c r="O80" i="2"/>
  <c r="O79" i="2"/>
  <c r="O78" i="2"/>
  <c r="O77" i="2"/>
  <c r="O75" i="2"/>
  <c r="O74" i="2"/>
  <c r="O73" i="2"/>
  <c r="O57" i="2"/>
  <c r="O45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D92" i="2"/>
  <c r="E92" i="2"/>
  <c r="F92" i="2"/>
  <c r="G92" i="2"/>
  <c r="H92" i="2"/>
  <c r="I92" i="2"/>
  <c r="J92" i="2"/>
  <c r="K92" i="2"/>
  <c r="L92" i="2"/>
  <c r="M92" i="2"/>
  <c r="C92" i="2"/>
  <c r="N90" i="2"/>
  <c r="N87" i="2"/>
  <c r="O87" i="2" s="1"/>
  <c r="N84" i="2"/>
  <c r="N92" i="2" s="1"/>
  <c r="N76" i="2"/>
  <c r="O76" i="2" s="1"/>
  <c r="N70" i="2"/>
  <c r="O70" i="2" s="1"/>
  <c r="N65" i="2"/>
  <c r="O65" i="2" s="1"/>
  <c r="N53" i="2"/>
  <c r="O53" i="2" s="1"/>
  <c r="N35" i="2"/>
  <c r="O35" i="2" s="1"/>
  <c r="N25" i="2"/>
  <c r="O25" i="2" s="1"/>
  <c r="N15" i="2"/>
  <c r="O15" i="2" s="1"/>
  <c r="N9" i="2"/>
  <c r="O9" i="2" s="1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29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14" i="2"/>
  <c r="M10" i="2"/>
  <c r="M34" i="2"/>
  <c r="M25" i="2" s="1"/>
  <c r="M23" i="2"/>
  <c r="M15" i="2" s="1"/>
  <c r="M90" i="2"/>
  <c r="M87" i="2"/>
  <c r="M84" i="2"/>
  <c r="M76" i="2"/>
  <c r="M70" i="2"/>
  <c r="M65" i="2"/>
  <c r="M53" i="2"/>
  <c r="M35" i="2"/>
  <c r="L42" i="2"/>
  <c r="L35" i="2" s="1"/>
  <c r="L34" i="2"/>
  <c r="L26" i="2"/>
  <c r="L23" i="2"/>
  <c r="L15" i="2" s="1"/>
  <c r="L25" i="2"/>
  <c r="L14" i="2"/>
  <c r="L90" i="2"/>
  <c r="L87" i="2"/>
  <c r="L84" i="2"/>
  <c r="L76" i="2"/>
  <c r="L70" i="2"/>
  <c r="L65" i="2"/>
  <c r="L53" i="2"/>
  <c r="K65" i="2"/>
  <c r="K70" i="2"/>
  <c r="K76" i="2"/>
  <c r="K24" i="2"/>
  <c r="K15" i="2" s="1"/>
  <c r="K9" i="2"/>
  <c r="K90" i="2"/>
  <c r="K87" i="2"/>
  <c r="K84" i="2"/>
  <c r="K53" i="2"/>
  <c r="K35" i="2"/>
  <c r="K25" i="2"/>
  <c r="J10" i="2"/>
  <c r="J9" i="2" s="1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I84" i="2"/>
  <c r="H84" i="2"/>
  <c r="G84" i="2"/>
  <c r="F84" i="2"/>
  <c r="E84" i="2"/>
  <c r="D84" i="2"/>
  <c r="C84" i="2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I34" i="2"/>
  <c r="I26" i="2"/>
  <c r="J25" i="2"/>
  <c r="H25" i="2"/>
  <c r="G25" i="2"/>
  <c r="F25" i="2"/>
  <c r="E25" i="2"/>
  <c r="D25" i="2"/>
  <c r="C25" i="2"/>
  <c r="J24" i="2"/>
  <c r="J20" i="2"/>
  <c r="I15" i="2"/>
  <c r="H15" i="2"/>
  <c r="G15" i="2"/>
  <c r="F15" i="2"/>
  <c r="E15" i="2"/>
  <c r="D15" i="2"/>
  <c r="C15" i="2"/>
  <c r="I14" i="2"/>
  <c r="H14" i="2"/>
  <c r="G14" i="2"/>
  <c r="F14" i="2"/>
  <c r="E14" i="2"/>
  <c r="I10" i="2"/>
  <c r="H10" i="2"/>
  <c r="G10" i="2"/>
  <c r="F10" i="2"/>
  <c r="E10" i="2"/>
  <c r="D9" i="2"/>
  <c r="C9" i="2"/>
  <c r="O92" i="2" l="1"/>
  <c r="O81" i="2"/>
  <c r="N81" i="2"/>
  <c r="N94" i="2" s="1"/>
  <c r="F9" i="2"/>
  <c r="J15" i="2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C81" i="2"/>
  <c r="C94" i="2" s="1"/>
  <c r="D81" i="2"/>
  <c r="D94" i="2" s="1"/>
  <c r="J81" i="2"/>
  <c r="J94" i="2" s="1"/>
  <c r="H81" i="2"/>
  <c r="H94" i="2" s="1"/>
  <c r="F81" i="2"/>
  <c r="F94" i="2" s="1"/>
  <c r="I25" i="2"/>
  <c r="I81" i="2" s="1"/>
  <c r="I94" i="2" s="1"/>
  <c r="O94" i="2" l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<sst xmlns="http://schemas.openxmlformats.org/spreadsheetml/2006/main" count="110" uniqueCount="110">
  <si>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</si>
  <si>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</si>
  <si>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</si>
  <si>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</si>
  <si>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</si>
  <si>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</si>
  <si>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</si>
  <si>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</si>
  <si>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</si>
  <si>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</si>
  <si>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</si>
  <si>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</si>
  <si>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</si>
  <si>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</si>
  <si>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</si>
  <si>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</si>
  <si>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</si>
  <si>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</si>
  <si>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</si>
  <si>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</si>
  <si>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</si>
  <si>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</si>
  <si>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</si>
  <si>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</si>
  <si>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</si>
  <si>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</si>
  <si>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</si>
  <si>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</si>
  <si>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</si>
  <si>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</si>
  <si>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</si>
  <si>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</si>
  <si>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</si>
  <si>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</si>
  <si>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</si>
  <si>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</si>
  <si>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</si>
  <si>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</si>
  <si>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</si>
  <si>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</si>
  <si>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</si>
  <si>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</si>
  <si>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</si>
  <si>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</si>
  <si>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</si>
  <si>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</si>
  <si>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</si>
  <si>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</si>
  <si>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</si>
  <si>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</si>
  <si>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</si>
  <si>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</si>
  <si>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</si>
  <si>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</si>
  <si>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</si>
  <si>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</si>
  <si>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</si>
  <si>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</si>
  <si>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</si>
  <si>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</si>
  <si>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</si>
  <si>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</si>
  <si>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</si>
  <si>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</si>
  <si>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</si>
  <si>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</si>
  <si>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</si>
  <si>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</si>
  <si>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</si>
  <si>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</si>
  <si>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</si>
  <si>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</si>
  <si>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</si>
  <si>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</si>
  <si>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</si>
  <si>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</si>
  <si>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</si>
  <si>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</si>
  <si>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</si>
  <si>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</si>
  <si>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</si>
  <si>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</si>
  <si>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</si>
  <si>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</si>
  <si>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</si>
  <si>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</si>
  <si>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</si>
  <si>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</si>
  <si>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</si>
  <si>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</si>
  <si>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</si>
  <si>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</si>
  <si>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</si>
  <si>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</si>
  <si>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</si>
  <si>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</si>
  <si>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</si>
  <si>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</si>
  <si>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Aura M. Segura Matos</t>
  </si>
  <si>
    <t>Encargada Administrativa Financiera</t>
  </si>
  <si>
    <t>Director Ejecutivo</t>
  </si>
  <si>
    <t xml:space="preserve">Julio </t>
  </si>
  <si>
    <t>Ángel David Taveras Difo</t>
  </si>
  <si>
    <t>Agosto</t>
  </si>
  <si>
    <t>Septiembre</t>
  </si>
  <si>
    <t>Octubre</t>
  </si>
  <si>
    <t xml:space="preserve">            Angel A. Sánchez González</t>
  </si>
  <si>
    <t xml:space="preserve">           Encargado de Presupuesto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</si>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</sst>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0" fontId="0" fillId="0" borderId="0" xfId="3" applyNumberFormat="1" applyFont="1"/>
    <xf numFmtId="10" fontId="2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6224586</xdr:colOff>
      <xdr:row>100</xdr:row>
      <xdr:rowOff>175155</xdr:rowOff>
    </xdr:from>
    <xdr:to>
      <xdr:col>4</xdr:col>
      <xdr:colOff>300036</xdr:colOff>
      <xdr:row>100</xdr:row>
      <xdr:rowOff>176212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481791-C403-428A-A46C-BB80BE84DD5F}"/>
            </a:ext>
          </a:extLst>
        </xdr:cNvPr>
        <xdr:cNvCxnSpPr/>
      </xdr:nvCxnSpPr>
      <xdr:spPr>
        <a:xfrm flipV="1">
          <a:off x="6224586" y="22689874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1378401</xdr:colOff>
      <xdr:row>107</xdr:row>
      <xdr:rowOff>156142</xdr:rowOff>
    </xdr:from>
    <xdr:to>
      <xdr:col>7</xdr:col>
      <xdr:colOff>379296</xdr:colOff>
      <xdr:row>107</xdr:row>
      <xdr:rowOff>156143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2C7B83C-A69C-4F97-A6D9-02A27BC8D6C5}"/>
            </a:ext>
          </a:extLst>
        </xdr:cNvPr>
        <xdr:cNvCxnSpPr/>
      </xdr:nvCxnSpPr>
      <xdr:spPr>
        <a:xfrm flipV="1">
          <a:off x="10522401" y="23944830"/>
          <a:ext cx="317998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1243353</xdr:colOff>
      <xdr:row>101</xdr:row>
      <xdr:rowOff>11263</xdr:rowOff>
    </xdr:from>
    <xdr:to>
      <xdr:col>9</xdr:col>
      <xdr:colOff>357188</xdr:colOff>
      <xdr:row>101</xdr:row>
      <xdr:rowOff>11906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1747C6-3972-42D4-91B9-576B9B2251C5}"/>
            </a:ext>
          </a:extLst>
        </xdr:cNvPr>
        <xdr:cNvCxnSpPr/>
      </xdr:nvCxnSpPr>
      <xdr:spPr>
        <a:xfrm>
          <a:off x="13173416" y="22716482"/>
          <a:ext cx="3292928" cy="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AA114"/>
  <sheetViews>
    <sheetView showGridLines="0" tabSelected="1" topLeftCell="B1" zoomScale="80" zoomScaleNormal="80" zoomScaleSheetLayoutView="80" workbookViewId="0">
      <selection activeCell="C14" sqref="C14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customWidth="1"/>
    <col min="8" max="14" width="20.88671875" style="3" customWidth="1"/>
    <col min="15" max="15" width="22" style="3" customWidth="1"/>
    <col min="16" max="16" width="10.88671875" style="77" bestFit="1" customWidth="1"/>
    <col min="17" max="17" width="14.5546875" bestFit="1" customWidth="1"/>
  </cols>
  <sheetData>
    <row r="1" spans="2:17" ht="32.25" customHeight="1" x14ac:dyDescent="0.4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74"/>
    </row>
    <row r="2" spans="2:17" ht="20.399999999999999" x14ac:dyDescent="0.3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5"/>
    </row>
    <row r="3" spans="2:17" ht="20.399999999999999" x14ac:dyDescent="0.3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76"/>
    </row>
    <row r="4" spans="2:17" ht="20.399999999999999" x14ac:dyDescent="0.35">
      <c r="B4" s="97" t="s">
        <v>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76"/>
    </row>
    <row r="5" spans="2:17" x14ac:dyDescent="0.3">
      <c r="B5" s="93"/>
      <c r="C5" s="93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7" t="s">
        <v>101</v>
      </c>
      <c r="J7" s="7" t="s">
        <v>103</v>
      </c>
      <c r="K7" s="7" t="s">
        <v>104</v>
      </c>
      <c r="L7" s="7" t="s">
        <v>105</v>
      </c>
      <c r="M7" s="7" t="s">
        <v>108</v>
      </c>
      <c r="N7" s="7" t="s">
        <v>109</v>
      </c>
      <c r="O7" s="7" t="s">
        <v>11</v>
      </c>
    </row>
    <row r="8" spans="2:17" x14ac:dyDescent="0.3">
      <c r="B8" s="8" t="s">
        <v>12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13</v>
      </c>
      <c r="C9" s="13">
        <f t="shared" ref="C9:H9" si="0">SUM(C10:C14)</f>
        <v>3949727.49</v>
      </c>
      <c r="D9" s="13">
        <f t="shared" si="0"/>
        <v>3949727.49</v>
      </c>
      <c r="E9" s="13">
        <f t="shared" si="0"/>
        <v>3869078.94</v>
      </c>
      <c r="F9" s="13">
        <f t="shared" si="0"/>
        <v>4306031.4400000004</v>
      </c>
      <c r="G9" s="13">
        <f t="shared" si="0"/>
        <v>6713582.8499999996</v>
      </c>
      <c r="H9" s="14">
        <f t="shared" si="0"/>
        <v>3775578.74</v>
      </c>
      <c r="I9" s="14">
        <f t="shared" ref="I9:N9" si="1">SUM(I10:I14)</f>
        <v>3915955.0700000003</v>
      </c>
      <c r="J9" s="14">
        <f t="shared" si="1"/>
        <v>3915192.5</v>
      </c>
      <c r="K9" s="14">
        <f t="shared" si="1"/>
        <v>3991905.0599999996</v>
      </c>
      <c r="L9" s="14">
        <f t="shared" si="1"/>
        <v>6950340.4199999999</v>
      </c>
      <c r="M9" s="14">
        <f t="shared" si="1"/>
        <v>7471264.9299999997</v>
      </c>
      <c r="N9" s="14">
        <f t="shared" si="1"/>
        <v>7257373.5600000005</v>
      </c>
      <c r="O9" s="15">
        <f>SUM(C9:N9)</f>
        <v>60065758.49000001</v>
      </c>
      <c r="P9" s="78"/>
      <c r="Q9" s="16"/>
    </row>
    <row r="10" spans="2:17" ht="18" customHeight="1" x14ac:dyDescent="0.3">
      <c r="B10" s="18" t="s">
        <v>14</v>
      </c>
      <c r="C10" s="19">
        <v>3185700</v>
      </c>
      <c r="D10" s="19">
        <v>3185700</v>
      </c>
      <c r="E10" s="19">
        <f>2190700+925000</f>
        <v>3115700</v>
      </c>
      <c r="F10" s="19">
        <f>2255305.45+925000</f>
        <v>3180305.45</v>
      </c>
      <c r="G10" s="19">
        <f>2397049.79+820000</f>
        <v>3217049.79</v>
      </c>
      <c r="H10" s="20">
        <f>2148200+915000</f>
        <v>3063200</v>
      </c>
      <c r="I10" s="20">
        <f>2394179.23+785000</f>
        <v>3179179.23</v>
      </c>
      <c r="J10" s="20">
        <f>3168963.9</f>
        <v>3168963.9</v>
      </c>
      <c r="K10" s="20">
        <v>3228866.67</v>
      </c>
      <c r="L10" s="20">
        <v>3136117.4</v>
      </c>
      <c r="M10" s="20">
        <f>5648961.12+865000</f>
        <v>6513961.1200000001</v>
      </c>
      <c r="N10" s="20">
        <v>3065461.0300000003</v>
      </c>
      <c r="O10" s="21">
        <f>SUM(C10:N10)</f>
        <v>41240204.589999996</v>
      </c>
      <c r="P10" s="79"/>
      <c r="Q10" s="3"/>
    </row>
    <row r="11" spans="2:17" ht="18" customHeight="1" x14ac:dyDescent="0.3">
      <c r="B11" s="18" t="s">
        <v>15</v>
      </c>
      <c r="C11" s="19">
        <v>253000</v>
      </c>
      <c r="D11" s="19">
        <v>253000</v>
      </c>
      <c r="E11" s="19">
        <v>253000</v>
      </c>
      <c r="F11" s="19">
        <v>621900</v>
      </c>
      <c r="G11" s="19">
        <v>3011616.66</v>
      </c>
      <c r="H11" s="20">
        <v>253000</v>
      </c>
      <c r="I11" s="20">
        <v>253000</v>
      </c>
      <c r="J11" s="20">
        <v>253000</v>
      </c>
      <c r="K11" s="20">
        <v>253000</v>
      </c>
      <c r="L11" s="20">
        <v>3276922.22</v>
      </c>
      <c r="M11" s="20">
        <v>480250</v>
      </c>
      <c r="N11" s="20">
        <v>3645200</v>
      </c>
      <c r="O11" s="21">
        <f t="shared" ref="O11:O21" si="2">SUM(C11:N11)</f>
        <v>12806888.880000001</v>
      </c>
      <c r="P11" s="79"/>
      <c r="Q11" s="3"/>
    </row>
    <row r="12" spans="2:17" ht="18" customHeight="1" x14ac:dyDescent="0.3">
      <c r="B12" s="18" t="s">
        <v>16</v>
      </c>
      <c r="C12" s="19">
        <v>36750</v>
      </c>
      <c r="D12" s="19">
        <v>36750</v>
      </c>
      <c r="E12" s="19">
        <v>36750</v>
      </c>
      <c r="F12" s="19">
        <v>36750</v>
      </c>
      <c r="G12" s="19">
        <v>36620.800000000003</v>
      </c>
      <c r="H12" s="20">
        <v>0</v>
      </c>
      <c r="I12" s="20">
        <v>26752.2</v>
      </c>
      <c r="J12" s="20">
        <v>35852.230000000003</v>
      </c>
      <c r="K12" s="20">
        <v>25390.55</v>
      </c>
      <c r="L12" s="20">
        <v>72421.88</v>
      </c>
      <c r="M12" s="20">
        <v>0</v>
      </c>
      <c r="N12" s="20">
        <v>69658.720000000001</v>
      </c>
      <c r="O12" s="21">
        <f t="shared" si="2"/>
        <v>413696.38</v>
      </c>
      <c r="P12" s="79"/>
      <c r="Q12" s="3"/>
    </row>
    <row r="13" spans="2:17" ht="18" customHeight="1" x14ac:dyDescent="0.3">
      <c r="B13" s="18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1">
        <f t="shared" si="2"/>
        <v>0</v>
      </c>
      <c r="P13" s="79"/>
      <c r="Q13" s="3"/>
    </row>
    <row r="14" spans="2:17" ht="18" customHeight="1" x14ac:dyDescent="0.3">
      <c r="B14" s="18" t="s">
        <v>18</v>
      </c>
      <c r="C14" s="30">
        <v>474277.49</v>
      </c>
      <c r="D14" s="19">
        <v>474277.49</v>
      </c>
      <c r="E14" s="24">
        <f>324888.14+138740.8</f>
        <v>463628.94</v>
      </c>
      <c r="F14" s="24">
        <f>327691.15+139384.84</f>
        <v>467075.99</v>
      </c>
      <c r="G14" s="24">
        <f>324633.15+123662.45</f>
        <v>448295.60000000003</v>
      </c>
      <c r="H14" s="23">
        <f>321190.79+138187.95</f>
        <v>459378.74</v>
      </c>
      <c r="I14" s="23">
        <f>338105.58+118918.06</f>
        <v>457023.64</v>
      </c>
      <c r="J14" s="23">
        <v>457376.37</v>
      </c>
      <c r="K14" s="23">
        <v>484647.84</v>
      </c>
      <c r="L14" s="23">
        <f>334228.08+130650.84</f>
        <v>464878.92000000004</v>
      </c>
      <c r="M14" s="23">
        <f>346402.97+130650.84</f>
        <v>477053.80999999994</v>
      </c>
      <c r="N14" s="23">
        <v>477053.81000000006</v>
      </c>
      <c r="O14" s="21">
        <f t="shared" si="2"/>
        <v>5604968.6400000006</v>
      </c>
      <c r="P14" s="79"/>
      <c r="Q14" s="3"/>
    </row>
    <row r="15" spans="2:17" s="17" customFormat="1" ht="18" customHeight="1" x14ac:dyDescent="0.3">
      <c r="B15" s="26" t="s">
        <v>19</v>
      </c>
      <c r="C15" s="27">
        <f t="shared" ref="C15:H15" si="3">SUM(C16:C24)</f>
        <v>328132.12</v>
      </c>
      <c r="D15" s="27">
        <f t="shared" si="3"/>
        <v>1049851.2100000002</v>
      </c>
      <c r="E15" s="27">
        <f t="shared" si="3"/>
        <v>1186207.5900000001</v>
      </c>
      <c r="F15" s="27">
        <f t="shared" si="3"/>
        <v>1100870.8799999999</v>
      </c>
      <c r="G15" s="27">
        <f t="shared" si="3"/>
        <v>798226.55999999994</v>
      </c>
      <c r="H15" s="28">
        <f t="shared" si="3"/>
        <v>1344080.69</v>
      </c>
      <c r="I15" s="28">
        <f t="shared" ref="I15:N15" si="4">SUM(I16:I24)</f>
        <v>2771865.26</v>
      </c>
      <c r="J15" s="28">
        <f t="shared" si="4"/>
        <v>1241492.27</v>
      </c>
      <c r="K15" s="28">
        <f t="shared" si="4"/>
        <v>1083331.77</v>
      </c>
      <c r="L15" s="28">
        <f t="shared" si="4"/>
        <v>2259083.63</v>
      </c>
      <c r="M15" s="28">
        <f t="shared" si="4"/>
        <v>2376935.37</v>
      </c>
      <c r="N15" s="28">
        <f t="shared" si="4"/>
        <v>4102070.43</v>
      </c>
      <c r="O15" s="21">
        <f t="shared" si="2"/>
        <v>19642147.779999997</v>
      </c>
      <c r="P15" s="78"/>
      <c r="Q15" s="51"/>
    </row>
    <row r="16" spans="2:17" ht="18" customHeight="1" x14ac:dyDescent="0.3">
      <c r="B16" s="18" t="s">
        <v>20</v>
      </c>
      <c r="C16" s="19">
        <v>95364.15</v>
      </c>
      <c r="D16" s="19">
        <v>223607.05000000005</v>
      </c>
      <c r="E16" s="19">
        <v>399854.77</v>
      </c>
      <c r="F16" s="19">
        <v>244830.32</v>
      </c>
      <c r="G16" s="19">
        <v>256148.64</v>
      </c>
      <c r="H16" s="20">
        <v>114534.01</v>
      </c>
      <c r="I16" s="20">
        <v>405609.8</v>
      </c>
      <c r="J16" s="20">
        <v>258289.49</v>
      </c>
      <c r="K16" s="20">
        <v>265594.58999999997</v>
      </c>
      <c r="L16" s="20">
        <v>264296</v>
      </c>
      <c r="M16" s="20">
        <v>261263.61</v>
      </c>
      <c r="N16" s="20">
        <v>252195.02999999997</v>
      </c>
      <c r="O16" s="21">
        <f t="shared" si="2"/>
        <v>3041587.46</v>
      </c>
      <c r="P16" s="79"/>
      <c r="Q16" s="3"/>
    </row>
    <row r="17" spans="2:17" ht="18" customHeight="1" x14ac:dyDescent="0.3">
      <c r="B17" s="18" t="s">
        <v>21</v>
      </c>
      <c r="C17" s="22">
        <v>0</v>
      </c>
      <c r="D17" s="22">
        <v>0</v>
      </c>
      <c r="E17" s="19">
        <v>19342.41</v>
      </c>
      <c r="F17" s="22">
        <v>0</v>
      </c>
      <c r="G17" s="30">
        <v>5814</v>
      </c>
      <c r="H17" s="21">
        <v>61480</v>
      </c>
      <c r="I17" s="20">
        <v>8364.9599999999991</v>
      </c>
      <c r="J17" s="20">
        <v>5625</v>
      </c>
      <c r="K17" s="20">
        <v>5625</v>
      </c>
      <c r="L17" s="20">
        <v>11272.11</v>
      </c>
      <c r="M17" s="20">
        <v>5625</v>
      </c>
      <c r="N17" s="20">
        <v>5625</v>
      </c>
      <c r="O17" s="21">
        <f t="shared" si="2"/>
        <v>128773.48</v>
      </c>
      <c r="P17" s="79"/>
      <c r="Q17" s="3"/>
    </row>
    <row r="18" spans="2:17" ht="18" customHeight="1" x14ac:dyDescent="0.3">
      <c r="B18" s="18" t="s">
        <v>22</v>
      </c>
      <c r="C18" s="22">
        <v>0</v>
      </c>
      <c r="D18" s="22">
        <v>0</v>
      </c>
      <c r="E18" s="19">
        <v>50550</v>
      </c>
      <c r="F18" s="19">
        <v>35800</v>
      </c>
      <c r="G18" s="19">
        <v>35800</v>
      </c>
      <c r="H18" s="20">
        <v>38300</v>
      </c>
      <c r="I18" s="20">
        <v>307784.5</v>
      </c>
      <c r="J18" s="20">
        <v>53700</v>
      </c>
      <c r="K18" s="20">
        <v>209919.84</v>
      </c>
      <c r="L18" s="20">
        <v>42200</v>
      </c>
      <c r="M18" s="20">
        <v>451452.43</v>
      </c>
      <c r="N18" s="20">
        <v>35800</v>
      </c>
      <c r="O18" s="21">
        <f t="shared" si="2"/>
        <v>1261306.77</v>
      </c>
      <c r="P18" s="79"/>
    </row>
    <row r="19" spans="2:17" ht="18" customHeight="1" x14ac:dyDescent="0.3">
      <c r="B19" s="18" t="s">
        <v>23</v>
      </c>
      <c r="C19" s="22">
        <v>0</v>
      </c>
      <c r="D19" s="22">
        <v>0</v>
      </c>
      <c r="E19" s="19">
        <v>3600</v>
      </c>
      <c r="F19" s="30">
        <v>30000</v>
      </c>
      <c r="G19" s="30">
        <v>15170</v>
      </c>
      <c r="H19" s="21">
        <v>0</v>
      </c>
      <c r="I19" s="20">
        <v>161536.99</v>
      </c>
      <c r="J19" s="20">
        <v>0</v>
      </c>
      <c r="K19" s="20">
        <v>0</v>
      </c>
      <c r="L19" s="20">
        <v>235199.32</v>
      </c>
      <c r="M19" s="20">
        <v>0</v>
      </c>
      <c r="N19" s="20">
        <v>114423.76</v>
      </c>
      <c r="O19" s="21">
        <f t="shared" si="2"/>
        <v>559930.06999999995</v>
      </c>
      <c r="P19" s="79"/>
    </row>
    <row r="20" spans="2:17" ht="18" customHeight="1" x14ac:dyDescent="0.3">
      <c r="B20" s="18" t="s">
        <v>24</v>
      </c>
      <c r="C20" s="30">
        <v>83008.58</v>
      </c>
      <c r="D20" s="30">
        <v>364515.99</v>
      </c>
      <c r="E20" s="30">
        <v>83008.58</v>
      </c>
      <c r="F20" s="30">
        <v>321574.18</v>
      </c>
      <c r="G20" s="22">
        <v>0</v>
      </c>
      <c r="H20" s="23">
        <v>166017.16</v>
      </c>
      <c r="I20" s="20">
        <v>266283.8</v>
      </c>
      <c r="J20" s="20">
        <f>116109.29+180044</f>
        <v>296153.28999999998</v>
      </c>
      <c r="K20" s="20">
        <v>58054.84</v>
      </c>
      <c r="L20" s="20">
        <v>61301.26</v>
      </c>
      <c r="M20" s="20">
        <v>140417.68</v>
      </c>
      <c r="N20" s="20">
        <v>82362.84</v>
      </c>
      <c r="O20" s="21">
        <f t="shared" si="2"/>
        <v>1922698.2000000002</v>
      </c>
      <c r="Q20" s="79"/>
    </row>
    <row r="21" spans="2:17" ht="18" customHeight="1" x14ac:dyDescent="0.3">
      <c r="B21" s="18" t="s">
        <v>25</v>
      </c>
      <c r="C21" s="19">
        <v>109759.39</v>
      </c>
      <c r="D21" s="19">
        <v>96835.39</v>
      </c>
      <c r="E21" s="19">
        <v>97179.91</v>
      </c>
      <c r="F21" s="19">
        <v>81533.600000000006</v>
      </c>
      <c r="G21" s="19">
        <v>106282.74</v>
      </c>
      <c r="H21" s="20">
        <v>108822.06</v>
      </c>
      <c r="I21" s="20">
        <v>362386.84</v>
      </c>
      <c r="J21" s="20">
        <v>211945.63</v>
      </c>
      <c r="K21" s="20">
        <v>5935.72</v>
      </c>
      <c r="L21" s="20">
        <v>467070.66</v>
      </c>
      <c r="M21" s="20">
        <v>196329.94</v>
      </c>
      <c r="N21" s="20">
        <v>122437.24</v>
      </c>
      <c r="O21" s="21">
        <f t="shared" si="2"/>
        <v>1966519.1199999999</v>
      </c>
      <c r="P21" s="79"/>
    </row>
    <row r="22" spans="2:17" ht="28.2" x14ac:dyDescent="0.3">
      <c r="B22" s="18" t="s">
        <v>26</v>
      </c>
      <c r="C22" s="22">
        <v>0</v>
      </c>
      <c r="D22" s="30">
        <v>132411.68</v>
      </c>
      <c r="E22" s="30">
        <v>52959.28</v>
      </c>
      <c r="F22" s="30">
        <v>66007.58</v>
      </c>
      <c r="G22" s="30">
        <v>99412.88</v>
      </c>
      <c r="H22" s="21">
        <v>46584.28</v>
      </c>
      <c r="I22" s="20">
        <v>109824.42</v>
      </c>
      <c r="J22" s="20">
        <v>46584.28</v>
      </c>
      <c r="K22" s="20">
        <v>140984.28</v>
      </c>
      <c r="L22" s="20">
        <v>101510.36</v>
      </c>
      <c r="M22" s="20">
        <v>46584.17</v>
      </c>
      <c r="N22" s="20">
        <v>161542</v>
      </c>
      <c r="O22" s="21">
        <f>SUM(C22:N22)</f>
        <v>1004405.21</v>
      </c>
      <c r="P22" s="79"/>
    </row>
    <row r="23" spans="2:17" ht="18" customHeight="1" x14ac:dyDescent="0.3">
      <c r="B23" s="18" t="s">
        <v>27</v>
      </c>
      <c r="C23" s="30">
        <v>40000</v>
      </c>
      <c r="D23" s="30">
        <v>50000</v>
      </c>
      <c r="E23" s="30">
        <v>203341.34</v>
      </c>
      <c r="F23" s="30">
        <v>46728</v>
      </c>
      <c r="G23" s="30">
        <v>50567.34</v>
      </c>
      <c r="H23" s="21">
        <v>388769.18</v>
      </c>
      <c r="I23" s="20">
        <v>887354.65</v>
      </c>
      <c r="J23" s="20">
        <v>100000</v>
      </c>
      <c r="K23" s="20">
        <v>0</v>
      </c>
      <c r="L23" s="20">
        <f>167268.53+567120.8</f>
        <v>734389.33000000007</v>
      </c>
      <c r="M23" s="20">
        <f>62932.94+394640+511007.6</f>
        <v>968580.54</v>
      </c>
      <c r="N23" s="20">
        <v>2632143.36</v>
      </c>
      <c r="O23" s="21">
        <f t="shared" ref="O23" si="5">SUM(C23:N23)</f>
        <v>6101873.7400000002</v>
      </c>
      <c r="P23" s="79"/>
      <c r="Q23" s="66"/>
    </row>
    <row r="24" spans="2:17" ht="18" customHeight="1" x14ac:dyDescent="0.3">
      <c r="B24" s="18" t="s">
        <v>28</v>
      </c>
      <c r="C24" s="31">
        <v>0</v>
      </c>
      <c r="D24" s="30">
        <v>182481.1</v>
      </c>
      <c r="E24" s="32">
        <v>276371.3</v>
      </c>
      <c r="F24" s="32">
        <v>274397.2</v>
      </c>
      <c r="G24" s="32">
        <v>229030.96</v>
      </c>
      <c r="H24" s="33">
        <v>419574</v>
      </c>
      <c r="I24" s="20">
        <v>262719.3</v>
      </c>
      <c r="J24" s="20">
        <f>187431.2+81763.38</f>
        <v>269194.58</v>
      </c>
      <c r="K24" s="20">
        <f>258331.5+138886</f>
        <v>397217.5</v>
      </c>
      <c r="L24" s="20">
        <v>341844.59</v>
      </c>
      <c r="M24" s="20">
        <v>306682</v>
      </c>
      <c r="N24" s="20">
        <v>695541.20000000007</v>
      </c>
      <c r="O24" s="21">
        <f>SUM(C24:N24)</f>
        <v>3655053.7300000004</v>
      </c>
      <c r="P24" s="79"/>
    </row>
    <row r="25" spans="2:17" s="17" customFormat="1" ht="18" customHeight="1" x14ac:dyDescent="0.3">
      <c r="B25" s="26" t="s">
        <v>29</v>
      </c>
      <c r="C25" s="34">
        <f t="shared" ref="C25:N25" si="6">SUM(C26:C34)</f>
        <v>0</v>
      </c>
      <c r="D25" s="27">
        <f t="shared" si="6"/>
        <v>1220961.71</v>
      </c>
      <c r="E25" s="27">
        <f t="shared" si="6"/>
        <v>128279.01000000001</v>
      </c>
      <c r="F25" s="27">
        <f t="shared" si="6"/>
        <v>1204421.8700000001</v>
      </c>
      <c r="G25" s="27">
        <f t="shared" si="6"/>
        <v>122495.25</v>
      </c>
      <c r="H25" s="28">
        <f t="shared" si="6"/>
        <v>34445.31</v>
      </c>
      <c r="I25" s="28">
        <f t="shared" si="6"/>
        <v>1171488.6900000002</v>
      </c>
      <c r="J25" s="28">
        <f t="shared" si="6"/>
        <v>45686.39</v>
      </c>
      <c r="K25" s="28">
        <f t="shared" si="6"/>
        <v>697749.52</v>
      </c>
      <c r="L25" s="28">
        <f t="shared" si="6"/>
        <v>1356430.6400000001</v>
      </c>
      <c r="M25" s="28">
        <f t="shared" si="6"/>
        <v>54870</v>
      </c>
      <c r="N25" s="28">
        <f t="shared" si="6"/>
        <v>621329.99</v>
      </c>
      <c r="O25" s="29">
        <f>SUM(C25:N25)</f>
        <v>6658158.3800000008</v>
      </c>
      <c r="P25" s="78"/>
    </row>
    <row r="26" spans="2:17" ht="18" customHeight="1" x14ac:dyDescent="0.3">
      <c r="B26" s="18" t="s">
        <v>30</v>
      </c>
      <c r="C26" s="22">
        <v>0</v>
      </c>
      <c r="D26" s="30">
        <v>50375.28</v>
      </c>
      <c r="E26" s="30">
        <v>25414.33</v>
      </c>
      <c r="F26" s="22">
        <v>0</v>
      </c>
      <c r="G26" s="30">
        <v>93981.28</v>
      </c>
      <c r="H26" s="21">
        <v>17994</v>
      </c>
      <c r="I26" s="20">
        <f>22575.37+19889.95</f>
        <v>42465.32</v>
      </c>
      <c r="J26" s="20">
        <v>22338.43</v>
      </c>
      <c r="K26" s="20">
        <v>0</v>
      </c>
      <c r="L26" s="20">
        <f>22080.01+56834.91</f>
        <v>78914.92</v>
      </c>
      <c r="M26" s="20">
        <v>0</v>
      </c>
      <c r="N26" s="20">
        <v>69770.01999999999</v>
      </c>
      <c r="O26" s="21">
        <f>SUM(C26:N26)</f>
        <v>401253.57999999996</v>
      </c>
      <c r="P26" s="79"/>
    </row>
    <row r="27" spans="2:17" ht="18" customHeight="1" x14ac:dyDescent="0.3">
      <c r="B27" s="18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640</v>
      </c>
      <c r="H27" s="23">
        <v>0</v>
      </c>
      <c r="I27" s="23">
        <v>0</v>
      </c>
      <c r="J27" s="23">
        <v>0</v>
      </c>
      <c r="K27" s="23">
        <v>684901.5</v>
      </c>
      <c r="L27" s="23">
        <v>0</v>
      </c>
      <c r="M27" s="23">
        <v>0</v>
      </c>
      <c r="N27" s="23">
        <v>0</v>
      </c>
      <c r="O27" s="21">
        <f t="shared" ref="O27:O33" si="7">SUM(C27:N27)</f>
        <v>685541.5</v>
      </c>
      <c r="P27" s="79"/>
    </row>
    <row r="28" spans="2:17" ht="18" customHeight="1" x14ac:dyDescent="0.3">
      <c r="B28" s="18" t="s">
        <v>32</v>
      </c>
      <c r="C28" s="22">
        <v>0</v>
      </c>
      <c r="D28" s="30">
        <v>59911.95</v>
      </c>
      <c r="E28" s="30">
        <v>11800</v>
      </c>
      <c r="F28" s="30">
        <v>39787.24</v>
      </c>
      <c r="G28" s="30">
        <v>5800.05</v>
      </c>
      <c r="H28" s="21">
        <v>0</v>
      </c>
      <c r="I28" s="21">
        <v>16966.04</v>
      </c>
      <c r="J28" s="21">
        <v>10514.98</v>
      </c>
      <c r="K28" s="21">
        <v>4248</v>
      </c>
      <c r="L28" s="21">
        <v>35957.550000000003</v>
      </c>
      <c r="M28" s="21">
        <v>0</v>
      </c>
      <c r="N28" s="21">
        <v>0</v>
      </c>
      <c r="O28" s="21">
        <f t="shared" si="7"/>
        <v>184985.81</v>
      </c>
      <c r="P28" s="79"/>
    </row>
    <row r="29" spans="2:17" ht="18" customHeight="1" x14ac:dyDescent="0.3">
      <c r="B29" s="18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>
        <v>0</v>
      </c>
      <c r="J29" s="23">
        <v>9145.1299999999992</v>
      </c>
      <c r="K29" s="23">
        <v>0</v>
      </c>
      <c r="L29" s="23">
        <v>0</v>
      </c>
      <c r="M29" s="23">
        <v>0</v>
      </c>
      <c r="N29" s="23">
        <v>0</v>
      </c>
      <c r="O29" s="21">
        <f t="shared" si="7"/>
        <v>9145.1299999999992</v>
      </c>
      <c r="P29" s="79"/>
    </row>
    <row r="30" spans="2:17" ht="18" customHeight="1" x14ac:dyDescent="0.3">
      <c r="B30" s="18" t="s">
        <v>34</v>
      </c>
      <c r="C30" s="22">
        <v>0</v>
      </c>
      <c r="D30" s="22">
        <v>0</v>
      </c>
      <c r="E30" s="30">
        <v>51212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>
        <f t="shared" si="7"/>
        <v>51212</v>
      </c>
      <c r="P30" s="79"/>
    </row>
    <row r="31" spans="2:17" ht="18" customHeight="1" x14ac:dyDescent="0.3">
      <c r="B31" s="18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1">
        <f t="shared" si="7"/>
        <v>0</v>
      </c>
      <c r="P31" s="79"/>
    </row>
    <row r="32" spans="2:17" ht="18" customHeight="1" x14ac:dyDescent="0.3">
      <c r="B32" s="18" t="s">
        <v>36</v>
      </c>
      <c r="C32" s="22">
        <v>0</v>
      </c>
      <c r="D32" s="30">
        <v>1050000</v>
      </c>
      <c r="E32" s="22">
        <v>0</v>
      </c>
      <c r="F32" s="32">
        <v>1050000</v>
      </c>
      <c r="G32" s="32">
        <v>7830.48</v>
      </c>
      <c r="H32" s="33">
        <v>0</v>
      </c>
      <c r="I32" s="33">
        <v>1050000</v>
      </c>
      <c r="J32" s="33">
        <v>0</v>
      </c>
      <c r="K32" s="33">
        <v>0</v>
      </c>
      <c r="L32" s="33">
        <v>1059788.1000000001</v>
      </c>
      <c r="M32" s="33">
        <v>0</v>
      </c>
      <c r="N32" s="33">
        <v>0</v>
      </c>
      <c r="O32" s="21">
        <f t="shared" si="7"/>
        <v>4217618.58</v>
      </c>
      <c r="P32" s="79"/>
    </row>
    <row r="33" spans="2:17" ht="18" customHeight="1" x14ac:dyDescent="0.3">
      <c r="B33" s="35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1">
        <f t="shared" si="7"/>
        <v>0</v>
      </c>
      <c r="P33" s="79"/>
    </row>
    <row r="34" spans="2:17" ht="18" customHeight="1" x14ac:dyDescent="0.3">
      <c r="B34" s="18" t="s">
        <v>38</v>
      </c>
      <c r="C34" s="31">
        <v>0</v>
      </c>
      <c r="D34" s="30">
        <v>60674.48</v>
      </c>
      <c r="E34" s="30">
        <v>39852.68</v>
      </c>
      <c r="F34" s="32">
        <v>114634.63</v>
      </c>
      <c r="G34" s="32">
        <v>14243.44</v>
      </c>
      <c r="H34" s="33">
        <v>16451.310000000001</v>
      </c>
      <c r="I34" s="33">
        <f>60057.35+1999.98</f>
        <v>62057.33</v>
      </c>
      <c r="J34" s="33">
        <v>3687.85</v>
      </c>
      <c r="K34" s="33">
        <v>8600.02</v>
      </c>
      <c r="L34" s="33">
        <f>150412.52+30357.55+1000</f>
        <v>181770.06999999998</v>
      </c>
      <c r="M34" s="33">
        <f>6431+48439</f>
        <v>54870</v>
      </c>
      <c r="N34" s="33">
        <v>551559.97</v>
      </c>
      <c r="O34" s="21">
        <f>SUM(C34:N34)</f>
        <v>1108401.7799999998</v>
      </c>
      <c r="P34" s="79"/>
    </row>
    <row r="35" spans="2:17" s="17" customFormat="1" ht="18" customHeight="1" x14ac:dyDescent="0.3">
      <c r="B35" s="26" t="s">
        <v>39</v>
      </c>
      <c r="C35" s="34">
        <f t="shared" ref="C35:H35" si="8">SUM(C36:C44)</f>
        <v>0</v>
      </c>
      <c r="D35" s="27">
        <f t="shared" si="8"/>
        <v>68569.36</v>
      </c>
      <c r="E35" s="27">
        <f t="shared" si="8"/>
        <v>340007.45</v>
      </c>
      <c r="F35" s="27">
        <f t="shared" si="8"/>
        <v>43820.160000000003</v>
      </c>
      <c r="G35" s="34">
        <f t="shared" si="8"/>
        <v>0</v>
      </c>
      <c r="H35" s="36">
        <f t="shared" si="8"/>
        <v>0</v>
      </c>
      <c r="I35" s="36">
        <f t="shared" ref="I35:N35" si="9">SUM(I36:I44)</f>
        <v>0</v>
      </c>
      <c r="J35" s="36">
        <f t="shared" si="9"/>
        <v>34112.22</v>
      </c>
      <c r="K35" s="36">
        <f t="shared" si="9"/>
        <v>0</v>
      </c>
      <c r="L35" s="36">
        <f t="shared" si="9"/>
        <v>179143.05</v>
      </c>
      <c r="M35" s="36">
        <f t="shared" si="9"/>
        <v>0</v>
      </c>
      <c r="N35" s="36">
        <f t="shared" si="9"/>
        <v>0</v>
      </c>
      <c r="O35" s="29">
        <f>SUM(C35:N35)</f>
        <v>665652.24</v>
      </c>
      <c r="P35" s="78"/>
      <c r="Q35" s="66"/>
    </row>
    <row r="36" spans="2:17" ht="18" customHeight="1" x14ac:dyDescent="0.3">
      <c r="B36" s="18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f>SUM(C36:N36)</f>
        <v>0</v>
      </c>
      <c r="P36" s="80"/>
    </row>
    <row r="37" spans="2:17" s="37" customFormat="1" ht="18" customHeight="1" x14ac:dyDescent="0.3">
      <c r="B37" s="18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f t="shared" ref="O37:O41" si="10">SUM(C37:N37)</f>
        <v>0</v>
      </c>
      <c r="P37" s="80"/>
    </row>
    <row r="38" spans="2:17" s="37" customFormat="1" ht="18" customHeight="1" x14ac:dyDescent="0.3">
      <c r="B38" s="18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f t="shared" si="10"/>
        <v>0</v>
      </c>
      <c r="P38" s="80"/>
    </row>
    <row r="39" spans="2:17" s="37" customFormat="1" ht="18" customHeight="1" x14ac:dyDescent="0.3">
      <c r="B39" s="18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 t="shared" si="10"/>
        <v>0</v>
      </c>
      <c r="P39" s="80"/>
    </row>
    <row r="40" spans="2:17" s="37" customFormat="1" ht="18" customHeight="1" x14ac:dyDescent="0.3">
      <c r="B40" s="18" t="s">
        <v>44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f t="shared" si="10"/>
        <v>0</v>
      </c>
      <c r="P40" s="80"/>
    </row>
    <row r="41" spans="2:17" s="37" customFormat="1" ht="18" customHeight="1" x14ac:dyDescent="0.3">
      <c r="B41" s="35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f t="shared" si="10"/>
        <v>0</v>
      </c>
      <c r="P41" s="80"/>
    </row>
    <row r="42" spans="2:17" ht="18" customHeight="1" x14ac:dyDescent="0.3">
      <c r="B42" s="35" t="s">
        <v>46</v>
      </c>
      <c r="C42" s="22">
        <v>0</v>
      </c>
      <c r="D42" s="23">
        <v>68569.36</v>
      </c>
      <c r="E42" s="23">
        <v>340007.45</v>
      </c>
      <c r="F42" s="23">
        <v>43820.160000000003</v>
      </c>
      <c r="G42" s="23">
        <v>0</v>
      </c>
      <c r="H42" s="23">
        <v>0</v>
      </c>
      <c r="I42" s="23">
        <v>0</v>
      </c>
      <c r="J42" s="23">
        <v>34112.22</v>
      </c>
      <c r="K42" s="23">
        <v>0</v>
      </c>
      <c r="L42" s="23">
        <f>165655.9+13487.15</f>
        <v>179143.05</v>
      </c>
      <c r="M42" s="23">
        <v>0</v>
      </c>
      <c r="N42" s="23">
        <v>0</v>
      </c>
      <c r="O42" s="23">
        <f>SUM(C42:N42)</f>
        <v>665652.24</v>
      </c>
      <c r="P42" s="80"/>
    </row>
    <row r="43" spans="2:17" ht="18" customHeight="1" x14ac:dyDescent="0.3">
      <c r="B43" s="18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f t="shared" ref="O43" si="11">SUM(C43:N43)</f>
        <v>0</v>
      </c>
      <c r="P43" s="80"/>
    </row>
    <row r="44" spans="2:17" ht="18" customHeight="1" x14ac:dyDescent="0.3">
      <c r="B44" s="18" t="s">
        <v>48</v>
      </c>
      <c r="C44" s="31">
        <v>0</v>
      </c>
      <c r="D44" s="31">
        <v>0</v>
      </c>
      <c r="E44" s="22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f>SUM(C44:N44)</f>
        <v>0</v>
      </c>
      <c r="P44" s="80"/>
    </row>
    <row r="45" spans="2:17" ht="18" customHeight="1" x14ac:dyDescent="0.3">
      <c r="B45" s="26" t="s">
        <v>49</v>
      </c>
      <c r="C45" s="34">
        <f>SUM(C46:C52)</f>
        <v>0</v>
      </c>
      <c r="D45" s="34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81"/>
    </row>
    <row r="46" spans="2:17" ht="18" customHeight="1" x14ac:dyDescent="0.3">
      <c r="B46" s="38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80"/>
    </row>
    <row r="47" spans="2:17" ht="18" customHeight="1" x14ac:dyDescent="0.3">
      <c r="B47" s="18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3">SUM(C47:N47)</f>
        <v>0</v>
      </c>
      <c r="P47" s="80"/>
    </row>
    <row r="48" spans="2:17" ht="18" customHeight="1" x14ac:dyDescent="0.3">
      <c r="B48" s="18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80"/>
    </row>
    <row r="49" spans="2:18" ht="18" customHeight="1" x14ac:dyDescent="0.3">
      <c r="B49" s="18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3"/>
        <v>0</v>
      </c>
      <c r="P49" s="80"/>
    </row>
    <row r="50" spans="2:18" ht="18" customHeight="1" x14ac:dyDescent="0.3">
      <c r="B50" s="18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3"/>
        <v>0</v>
      </c>
      <c r="P50" s="80"/>
    </row>
    <row r="51" spans="2:18" ht="18" customHeight="1" x14ac:dyDescent="0.3">
      <c r="B51" s="18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3"/>
        <v>0</v>
      </c>
      <c r="P51" s="80"/>
    </row>
    <row r="52" spans="2:18" ht="18" customHeight="1" x14ac:dyDescent="0.3">
      <c r="B52" s="39" t="s">
        <v>56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4">SUM(C52:N52)</f>
        <v>0</v>
      </c>
      <c r="P52" s="80"/>
    </row>
    <row r="53" spans="2:18" s="17" customFormat="1" ht="21.75" customHeight="1" x14ac:dyDescent="0.3">
      <c r="B53" s="12" t="s">
        <v>57</v>
      </c>
      <c r="C53" s="42">
        <f t="shared" ref="C53:N53" si="15">SUM(C54:C64)</f>
        <v>0</v>
      </c>
      <c r="D53" s="42">
        <f t="shared" si="15"/>
        <v>0</v>
      </c>
      <c r="E53" s="43">
        <f t="shared" si="15"/>
        <v>96024.39</v>
      </c>
      <c r="F53" s="43">
        <f t="shared" si="15"/>
        <v>0</v>
      </c>
      <c r="G53" s="43">
        <f t="shared" si="15"/>
        <v>240300.98</v>
      </c>
      <c r="H53" s="43">
        <f t="shared" si="15"/>
        <v>0</v>
      </c>
      <c r="I53" s="43">
        <f t="shared" si="15"/>
        <v>6136</v>
      </c>
      <c r="J53" s="43">
        <f t="shared" si="15"/>
        <v>4071</v>
      </c>
      <c r="K53" s="43">
        <f t="shared" si="15"/>
        <v>168155.37</v>
      </c>
      <c r="L53" s="43">
        <f t="shared" si="15"/>
        <v>1969</v>
      </c>
      <c r="M53" s="43">
        <f t="shared" si="15"/>
        <v>3381179.6</v>
      </c>
      <c r="N53" s="43">
        <f t="shared" si="15"/>
        <v>781359.54</v>
      </c>
      <c r="O53" s="15">
        <f t="shared" si="14"/>
        <v>4679195.88</v>
      </c>
      <c r="P53" s="78"/>
      <c r="Q53"/>
      <c r="R53"/>
    </row>
    <row r="54" spans="2:18" ht="18" customHeight="1" x14ac:dyDescent="0.3">
      <c r="B54" s="35" t="s">
        <v>58</v>
      </c>
      <c r="C54" s="22">
        <v>0</v>
      </c>
      <c r="D54" s="22">
        <v>0</v>
      </c>
      <c r="E54" s="23">
        <v>96024.39</v>
      </c>
      <c r="F54" s="22">
        <v>0</v>
      </c>
      <c r="G54" s="30">
        <v>200003.98</v>
      </c>
      <c r="H54" s="23">
        <v>0</v>
      </c>
      <c r="I54" s="23">
        <v>0</v>
      </c>
      <c r="J54" s="23">
        <v>4071</v>
      </c>
      <c r="K54" s="23">
        <v>168155.37</v>
      </c>
      <c r="L54" s="23">
        <v>1969</v>
      </c>
      <c r="M54" s="23">
        <v>0</v>
      </c>
      <c r="N54" s="23">
        <v>196359.54</v>
      </c>
      <c r="O54" s="21">
        <f t="shared" si="14"/>
        <v>666583.28</v>
      </c>
      <c r="P54" s="79"/>
    </row>
    <row r="55" spans="2:18" ht="18" customHeight="1" x14ac:dyDescent="0.3">
      <c r="B55" s="35" t="s">
        <v>59</v>
      </c>
      <c r="C55" s="22">
        <v>0</v>
      </c>
      <c r="D55" s="22">
        <v>0</v>
      </c>
      <c r="E55" s="22">
        <v>0</v>
      </c>
      <c r="F55" s="22">
        <v>0</v>
      </c>
      <c r="G55" s="30">
        <v>40297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1">
        <f t="shared" si="14"/>
        <v>40297</v>
      </c>
      <c r="P55" s="79"/>
    </row>
    <row r="56" spans="2:18" ht="18" customHeight="1" x14ac:dyDescent="0.3">
      <c r="B56" s="18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1">
        <f t="shared" si="14"/>
        <v>0</v>
      </c>
      <c r="P56" s="79"/>
    </row>
    <row r="57" spans="2:18" ht="18" customHeight="1" x14ac:dyDescent="0.3">
      <c r="B57" s="18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3381179.6</v>
      </c>
      <c r="N57" s="23">
        <v>0</v>
      </c>
      <c r="O57" s="21">
        <f t="shared" si="14"/>
        <v>3381179.6</v>
      </c>
      <c r="P57" s="79"/>
    </row>
    <row r="58" spans="2:18" ht="18" customHeight="1" x14ac:dyDescent="0.3">
      <c r="B58" s="35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1">
        <f t="shared" si="14"/>
        <v>0</v>
      </c>
      <c r="P58" s="79"/>
    </row>
    <row r="59" spans="2:18" ht="18" customHeight="1" x14ac:dyDescent="0.3">
      <c r="B59" s="3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6136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1">
        <f t="shared" si="14"/>
        <v>6136</v>
      </c>
      <c r="P59" s="79"/>
    </row>
    <row r="60" spans="2:18" ht="18" customHeight="1" x14ac:dyDescent="0.3">
      <c r="B60" s="35" t="s">
        <v>64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1">
        <f t="shared" si="14"/>
        <v>0</v>
      </c>
      <c r="P60" s="79"/>
    </row>
    <row r="61" spans="2:18" ht="18" customHeight="1" x14ac:dyDescent="0.3">
      <c r="B61" s="3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585000</v>
      </c>
      <c r="O61" s="21">
        <f t="shared" si="14"/>
        <v>585000</v>
      </c>
      <c r="P61" s="79"/>
    </row>
    <row r="62" spans="2:18" ht="18" customHeight="1" x14ac:dyDescent="0.3">
      <c r="B62" s="18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1">
        <f t="shared" si="14"/>
        <v>0</v>
      </c>
      <c r="P62" s="79"/>
    </row>
    <row r="63" spans="2:18" ht="18" customHeight="1" x14ac:dyDescent="0.3">
      <c r="B63" s="3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1">
        <f t="shared" si="14"/>
        <v>0</v>
      </c>
      <c r="P63" s="79"/>
    </row>
    <row r="64" spans="2:18" ht="18" customHeight="1" x14ac:dyDescent="0.3">
      <c r="B64" s="18" t="s">
        <v>68</v>
      </c>
      <c r="C64" s="31">
        <v>0</v>
      </c>
      <c r="D64" s="31">
        <v>0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1">
        <f t="shared" si="14"/>
        <v>0</v>
      </c>
      <c r="P64" s="79"/>
    </row>
    <row r="65" spans="2:16" ht="18" customHeight="1" x14ac:dyDescent="0.3">
      <c r="B65" s="26" t="s">
        <v>69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6">SUM(G66:G69)</f>
        <v>0</v>
      </c>
      <c r="H65" s="36">
        <f t="shared" si="16"/>
        <v>0</v>
      </c>
      <c r="I65" s="36">
        <f t="shared" si="16"/>
        <v>0</v>
      </c>
      <c r="J65" s="36">
        <f t="shared" si="16"/>
        <v>0</v>
      </c>
      <c r="K65" s="36">
        <f t="shared" si="16"/>
        <v>0</v>
      </c>
      <c r="L65" s="36">
        <f t="shared" si="16"/>
        <v>0</v>
      </c>
      <c r="M65" s="36">
        <f t="shared" si="16"/>
        <v>0</v>
      </c>
      <c r="N65" s="36">
        <f t="shared" si="16"/>
        <v>0</v>
      </c>
      <c r="O65" s="36">
        <f t="shared" si="14"/>
        <v>0</v>
      </c>
      <c r="P65" s="81"/>
    </row>
    <row r="66" spans="2:16" ht="18" customHeight="1" x14ac:dyDescent="0.3">
      <c r="B66" s="18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1">
        <f t="shared" si="14"/>
        <v>0</v>
      </c>
      <c r="P66" s="79"/>
    </row>
    <row r="67" spans="2:16" ht="18" customHeight="1" x14ac:dyDescent="0.3">
      <c r="B67" s="3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1">
        <f t="shared" si="14"/>
        <v>0</v>
      </c>
      <c r="P67" s="79"/>
    </row>
    <row r="68" spans="2:16" ht="18" customHeight="1" x14ac:dyDescent="0.3">
      <c r="B68" s="18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1">
        <f t="shared" si="14"/>
        <v>0</v>
      </c>
      <c r="P68" s="79"/>
    </row>
    <row r="69" spans="2:16" ht="18" customHeight="1" x14ac:dyDescent="0.3">
      <c r="B69" s="18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1">
        <f t="shared" si="14"/>
        <v>0</v>
      </c>
      <c r="P69" s="79"/>
    </row>
    <row r="70" spans="2:16" ht="18" customHeight="1" x14ac:dyDescent="0.3">
      <c r="B70" s="44" t="s">
        <v>74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7">SUM(G71:G75)</f>
        <v>0</v>
      </c>
      <c r="H70" s="36">
        <f t="shared" si="17"/>
        <v>0</v>
      </c>
      <c r="I70" s="36">
        <f t="shared" si="17"/>
        <v>0</v>
      </c>
      <c r="J70" s="36">
        <f t="shared" si="17"/>
        <v>0</v>
      </c>
      <c r="K70" s="36">
        <f t="shared" si="17"/>
        <v>0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36">
        <f t="shared" si="14"/>
        <v>0</v>
      </c>
      <c r="P70" s="81"/>
    </row>
    <row r="71" spans="2:16" ht="18" customHeight="1" x14ac:dyDescent="0.3">
      <c r="B71" s="18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9"/>
    </row>
    <row r="72" spans="2:16" ht="18" customHeight="1" x14ac:dyDescent="0.3">
      <c r="B72" s="18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9"/>
    </row>
    <row r="73" spans="2:16" ht="18" customHeight="1" x14ac:dyDescent="0.3">
      <c r="B73" s="18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9"/>
    </row>
    <row r="74" spans="2:16" ht="18" customHeight="1" x14ac:dyDescent="0.3">
      <c r="B74" s="18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9"/>
    </row>
    <row r="75" spans="2:16" ht="18" customHeight="1" x14ac:dyDescent="0.3">
      <c r="B75" s="18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9"/>
    </row>
    <row r="76" spans="2:16" ht="18" customHeight="1" x14ac:dyDescent="0.3">
      <c r="B76" s="26" t="s">
        <v>80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8">SUM(G77:G80)</f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4"/>
        <v>0</v>
      </c>
      <c r="P76" s="81"/>
    </row>
    <row r="77" spans="2:16" ht="18" customHeight="1" x14ac:dyDescent="0.3">
      <c r="B77" s="18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80"/>
    </row>
    <row r="78" spans="2:16" ht="18" customHeight="1" x14ac:dyDescent="0.3">
      <c r="B78" s="18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80"/>
    </row>
    <row r="79" spans="2:16" ht="18" customHeight="1" x14ac:dyDescent="0.3">
      <c r="B79" s="18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80"/>
    </row>
    <row r="80" spans="2:16" ht="18" customHeight="1" x14ac:dyDescent="0.3">
      <c r="B80" s="18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80"/>
    </row>
    <row r="81" spans="2:17" ht="18" customHeight="1" x14ac:dyDescent="0.3">
      <c r="B81" s="46" t="s">
        <v>85</v>
      </c>
      <c r="C81" s="47">
        <f>C53+C35+C25+C15+C9</f>
        <v>4277859.6100000003</v>
      </c>
      <c r="D81" s="47">
        <f>D53+D35+D25+D15+D9</f>
        <v>6289109.7700000005</v>
      </c>
      <c r="E81" s="47">
        <f t="shared" ref="E81:N81" si="19">+E53+E35+E25+E15+E9</f>
        <v>5619597.3799999999</v>
      </c>
      <c r="F81" s="47">
        <f t="shared" si="19"/>
        <v>6655144.3500000006</v>
      </c>
      <c r="G81" s="47">
        <f t="shared" si="19"/>
        <v>7874605.6399999997</v>
      </c>
      <c r="H81" s="48">
        <f t="shared" si="19"/>
        <v>5154104.74</v>
      </c>
      <c r="I81" s="48">
        <f t="shared" si="19"/>
        <v>7865445.0200000005</v>
      </c>
      <c r="J81" s="48">
        <f t="shared" si="19"/>
        <v>5240554.38</v>
      </c>
      <c r="K81" s="48">
        <f t="shared" si="19"/>
        <v>5941141.7199999997</v>
      </c>
      <c r="L81" s="48">
        <f t="shared" si="19"/>
        <v>10746966.74</v>
      </c>
      <c r="M81" s="48">
        <f t="shared" si="19"/>
        <v>13284249.9</v>
      </c>
      <c r="N81" s="48">
        <f t="shared" si="19"/>
        <v>12762133.52</v>
      </c>
      <c r="O81" s="48">
        <f>O53+O35+O25+O15+O9+O65+O70+O76</f>
        <v>91710912.770000011</v>
      </c>
      <c r="P81" s="82"/>
    </row>
    <row r="82" spans="2:17" ht="18" customHeight="1" x14ac:dyDescent="0.3">
      <c r="B82" s="98" t="s">
        <v>86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100"/>
      <c r="P82" s="83"/>
    </row>
    <row r="83" spans="2:17" s="17" customFormat="1" ht="6" customHeight="1" x14ac:dyDescent="0.3"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3"/>
      <c r="P83" s="83"/>
    </row>
    <row r="84" spans="2:17" s="17" customFormat="1" ht="18" customHeight="1" x14ac:dyDescent="0.3">
      <c r="B84" s="12" t="s">
        <v>87</v>
      </c>
      <c r="C84" s="49">
        <f>SUM(C85:C86)</f>
        <v>0</v>
      </c>
      <c r="D84" s="49">
        <f t="shared" ref="D84:N84" si="20">SUM(D85)</f>
        <v>0</v>
      </c>
      <c r="E84" s="49">
        <f t="shared" si="20"/>
        <v>0</v>
      </c>
      <c r="F84" s="49">
        <f t="shared" si="20"/>
        <v>0</v>
      </c>
      <c r="G84" s="49">
        <f t="shared" si="20"/>
        <v>0</v>
      </c>
      <c r="H84" s="50">
        <f t="shared" si="20"/>
        <v>0</v>
      </c>
      <c r="I84" s="50">
        <f t="shared" si="20"/>
        <v>0</v>
      </c>
      <c r="J84" s="72">
        <f t="shared" si="20"/>
        <v>0</v>
      </c>
      <c r="K84" s="72">
        <f t="shared" si="20"/>
        <v>0</v>
      </c>
      <c r="L84" s="72">
        <f t="shared" si="20"/>
        <v>0</v>
      </c>
      <c r="M84" s="72">
        <f t="shared" si="20"/>
        <v>0</v>
      </c>
      <c r="N84" s="72">
        <f t="shared" si="20"/>
        <v>0</v>
      </c>
      <c r="O84" s="72">
        <f t="shared" ref="O84:O91" si="21">SUM(C84:N84)</f>
        <v>0</v>
      </c>
      <c r="P84" s="84"/>
    </row>
    <row r="85" spans="2:17" ht="18" customHeight="1" x14ac:dyDescent="0.3">
      <c r="B85" s="35" t="s">
        <v>88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3">
        <v>0</v>
      </c>
      <c r="I85" s="62">
        <v>0</v>
      </c>
      <c r="J85" s="62">
        <v>0</v>
      </c>
      <c r="K85" s="53">
        <v>0</v>
      </c>
      <c r="L85" s="62">
        <v>0</v>
      </c>
      <c r="M85" s="62">
        <v>0</v>
      </c>
      <c r="N85" s="53">
        <v>0</v>
      </c>
      <c r="O85" s="23">
        <f t="shared" si="21"/>
        <v>0</v>
      </c>
      <c r="P85" s="80"/>
    </row>
    <row r="86" spans="2:17" ht="18" customHeight="1" x14ac:dyDescent="0.3">
      <c r="B86" s="18" t="s">
        <v>89</v>
      </c>
      <c r="C86" s="54">
        <v>0</v>
      </c>
      <c r="D86" s="52">
        <v>0</v>
      </c>
      <c r="E86" s="52">
        <v>0</v>
      </c>
      <c r="F86" s="52">
        <v>0</v>
      </c>
      <c r="G86" s="52">
        <v>0</v>
      </c>
      <c r="H86" s="53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3">
        <v>0</v>
      </c>
      <c r="O86" s="23">
        <f t="shared" si="21"/>
        <v>0</v>
      </c>
      <c r="P86" s="80"/>
    </row>
    <row r="87" spans="2:17" s="17" customFormat="1" ht="18" customHeight="1" x14ac:dyDescent="0.3">
      <c r="B87" s="26" t="s">
        <v>90</v>
      </c>
      <c r="C87" s="55">
        <f>SUM(C88:C89)</f>
        <v>0</v>
      </c>
      <c r="D87" s="55">
        <f t="shared" ref="D87:N87" si="22">SUM(D88)</f>
        <v>0</v>
      </c>
      <c r="E87" s="55">
        <f t="shared" si="22"/>
        <v>0</v>
      </c>
      <c r="F87" s="55">
        <f t="shared" si="22"/>
        <v>0</v>
      </c>
      <c r="G87" s="55">
        <f t="shared" si="22"/>
        <v>0</v>
      </c>
      <c r="H87" s="56">
        <f t="shared" si="22"/>
        <v>0</v>
      </c>
      <c r="I87" s="73">
        <f t="shared" si="22"/>
        <v>0</v>
      </c>
      <c r="J87" s="73">
        <f t="shared" si="22"/>
        <v>0</v>
      </c>
      <c r="K87" s="73">
        <f t="shared" si="22"/>
        <v>0</v>
      </c>
      <c r="L87" s="73">
        <f t="shared" si="22"/>
        <v>0</v>
      </c>
      <c r="M87" s="73">
        <f t="shared" si="22"/>
        <v>0</v>
      </c>
      <c r="N87" s="73">
        <f t="shared" si="22"/>
        <v>0</v>
      </c>
      <c r="O87" s="73">
        <f t="shared" si="21"/>
        <v>0</v>
      </c>
      <c r="P87" s="84"/>
    </row>
    <row r="88" spans="2:17" ht="18" customHeight="1" x14ac:dyDescent="0.3">
      <c r="B88" s="35" t="s">
        <v>91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3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53">
        <v>0</v>
      </c>
      <c r="O88" s="23">
        <f t="shared" si="21"/>
        <v>0</v>
      </c>
      <c r="P88" s="80"/>
    </row>
    <row r="89" spans="2:17" ht="18" customHeight="1" x14ac:dyDescent="0.3">
      <c r="B89" s="35" t="s">
        <v>92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3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3">
        <v>0</v>
      </c>
      <c r="O89" s="23">
        <f t="shared" si="21"/>
        <v>0</v>
      </c>
      <c r="P89" s="80"/>
    </row>
    <row r="90" spans="2:17" ht="18" customHeight="1" x14ac:dyDescent="0.3">
      <c r="B90" s="26" t="s">
        <v>93</v>
      </c>
      <c r="C90" s="55">
        <f t="shared" ref="C90:N90" si="23">SUM(C91)</f>
        <v>0</v>
      </c>
      <c r="D90" s="55">
        <f t="shared" si="23"/>
        <v>0</v>
      </c>
      <c r="E90" s="55">
        <f t="shared" si="23"/>
        <v>0</v>
      </c>
      <c r="F90" s="55">
        <f t="shared" si="23"/>
        <v>0</v>
      </c>
      <c r="G90" s="55">
        <f t="shared" si="23"/>
        <v>0</v>
      </c>
      <c r="H90" s="56">
        <f t="shared" si="23"/>
        <v>0</v>
      </c>
      <c r="I90" s="73">
        <f t="shared" si="23"/>
        <v>0</v>
      </c>
      <c r="J90" s="73">
        <f t="shared" si="23"/>
        <v>0</v>
      </c>
      <c r="K90" s="73">
        <f t="shared" si="23"/>
        <v>0</v>
      </c>
      <c r="L90" s="73">
        <f t="shared" si="23"/>
        <v>0</v>
      </c>
      <c r="M90" s="73">
        <f t="shared" si="23"/>
        <v>0</v>
      </c>
      <c r="N90" s="73">
        <f t="shared" si="23"/>
        <v>0</v>
      </c>
      <c r="O90" s="73">
        <f t="shared" si="21"/>
        <v>0</v>
      </c>
      <c r="P90" s="84"/>
    </row>
    <row r="91" spans="2:17" ht="18" customHeight="1" x14ac:dyDescent="0.3">
      <c r="B91" s="57" t="s">
        <v>94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9">
        <v>0</v>
      </c>
      <c r="I91" s="59">
        <v>0</v>
      </c>
      <c r="J91" s="11">
        <v>0</v>
      </c>
      <c r="K91" s="59">
        <v>0</v>
      </c>
      <c r="L91" s="11">
        <v>0</v>
      </c>
      <c r="M91" s="11">
        <v>0</v>
      </c>
      <c r="N91" s="59">
        <v>0</v>
      </c>
      <c r="O91" s="41">
        <f t="shared" si="21"/>
        <v>0</v>
      </c>
      <c r="P91" s="80"/>
    </row>
    <row r="92" spans="2:17" ht="18" customHeight="1" x14ac:dyDescent="0.3">
      <c r="B92" s="46" t="s">
        <v>95</v>
      </c>
      <c r="C92" s="47">
        <f>SUM(C84:C91)</f>
        <v>0</v>
      </c>
      <c r="D92" s="47">
        <f t="shared" ref="D92:N92" si="24">SUM(D84:D91)</f>
        <v>0</v>
      </c>
      <c r="E92" s="47">
        <f t="shared" si="24"/>
        <v>0</v>
      </c>
      <c r="F92" s="47">
        <f t="shared" si="24"/>
        <v>0</v>
      </c>
      <c r="G92" s="47">
        <f t="shared" si="24"/>
        <v>0</v>
      </c>
      <c r="H92" s="47">
        <f t="shared" si="24"/>
        <v>0</v>
      </c>
      <c r="I92" s="47">
        <f t="shared" si="24"/>
        <v>0</v>
      </c>
      <c r="J92" s="47">
        <f t="shared" si="24"/>
        <v>0</v>
      </c>
      <c r="K92" s="47">
        <f t="shared" si="24"/>
        <v>0</v>
      </c>
      <c r="L92" s="47">
        <f t="shared" si="24"/>
        <v>0</v>
      </c>
      <c r="M92" s="47">
        <f t="shared" si="24"/>
        <v>0</v>
      </c>
      <c r="N92" s="47">
        <f t="shared" si="24"/>
        <v>0</v>
      </c>
      <c r="O92" s="47">
        <f>SUM(O84:O91)</f>
        <v>0</v>
      </c>
      <c r="P92" s="85"/>
    </row>
    <row r="93" spans="2:17" ht="9" customHeight="1" x14ac:dyDescent="0.3">
      <c r="B93" s="60"/>
      <c r="C93" s="61"/>
      <c r="D93" s="61"/>
      <c r="E93" s="61"/>
      <c r="F93" s="61"/>
      <c r="G93" s="61"/>
      <c r="H93" s="53"/>
      <c r="I93" s="53"/>
      <c r="J93" s="53"/>
      <c r="K93" s="53"/>
      <c r="L93" s="53"/>
      <c r="M93" s="53"/>
      <c r="N93" s="53"/>
      <c r="O93" s="62"/>
    </row>
    <row r="94" spans="2:17" ht="18" customHeight="1" x14ac:dyDescent="0.3">
      <c r="B94" s="63" t="s">
        <v>96</v>
      </c>
      <c r="C94" s="64">
        <f>C81+C92</f>
        <v>4277859.6100000003</v>
      </c>
      <c r="D94" s="64">
        <f>D81+D92</f>
        <v>6289109.7700000005</v>
      </c>
      <c r="E94" s="64">
        <f t="shared" ref="E94:N94" si="25">+E81</f>
        <v>5619597.3799999999</v>
      </c>
      <c r="F94" s="64">
        <f t="shared" si="25"/>
        <v>6655144.3500000006</v>
      </c>
      <c r="G94" s="64">
        <f t="shared" si="25"/>
        <v>7874605.6399999997</v>
      </c>
      <c r="H94" s="65">
        <f t="shared" si="25"/>
        <v>5154104.74</v>
      </c>
      <c r="I94" s="65">
        <f t="shared" si="25"/>
        <v>7865445.0200000005</v>
      </c>
      <c r="J94" s="65">
        <f t="shared" si="25"/>
        <v>5240554.38</v>
      </c>
      <c r="K94" s="65">
        <f t="shared" si="25"/>
        <v>5941141.7199999997</v>
      </c>
      <c r="L94" s="65">
        <f t="shared" si="25"/>
        <v>10746966.74</v>
      </c>
      <c r="M94" s="65">
        <f t="shared" si="25"/>
        <v>13284249.9</v>
      </c>
      <c r="N94" s="65">
        <f t="shared" si="25"/>
        <v>12762133.52</v>
      </c>
      <c r="O94" s="65">
        <f>+O81+O92</f>
        <v>91710912.770000011</v>
      </c>
      <c r="P94" s="86"/>
      <c r="Q94" s="66"/>
    </row>
    <row r="95" spans="2:17" x14ac:dyDescent="0.3">
      <c r="B95" t="s">
        <v>97</v>
      </c>
      <c r="Q95" s="25"/>
    </row>
    <row r="96" spans="2:17" x14ac:dyDescent="0.3">
      <c r="D96" s="66"/>
      <c r="E96" s="66"/>
      <c r="F96" s="66"/>
      <c r="G96" s="66"/>
      <c r="H96" s="67"/>
      <c r="I96" s="67"/>
      <c r="J96" s="67"/>
      <c r="K96" s="67"/>
      <c r="L96" s="67"/>
      <c r="M96" s="67"/>
      <c r="N96" s="67"/>
      <c r="O96" s="67"/>
    </row>
    <row r="97" spans="2:27" x14ac:dyDescent="0.3">
      <c r="D97" s="68"/>
      <c r="E97" s="68"/>
      <c r="F97" s="68"/>
      <c r="G97" s="68"/>
    </row>
    <row r="98" spans="2:27" x14ac:dyDescent="0.3">
      <c r="D98" s="68"/>
      <c r="E98" s="68"/>
      <c r="F98" s="68"/>
      <c r="G98" s="68"/>
      <c r="O98" s="90"/>
    </row>
    <row r="99" spans="2:27" x14ac:dyDescent="0.3">
      <c r="D99" s="68"/>
      <c r="E99" s="68"/>
      <c r="F99" s="68"/>
      <c r="G99" s="68"/>
    </row>
    <row r="100" spans="2:27" ht="22.5" customHeight="1" x14ac:dyDescent="0.3">
      <c r="D100" s="68"/>
      <c r="E100" s="68"/>
      <c r="F100" s="68"/>
      <c r="G100" s="68"/>
    </row>
    <row r="102" spans="2:27" x14ac:dyDescent="0.3">
      <c r="B102" s="1"/>
      <c r="C102" s="92" t="s">
        <v>106</v>
      </c>
      <c r="D102" s="92"/>
      <c r="G102" s="69"/>
      <c r="H102" s="92" t="s">
        <v>98</v>
      </c>
      <c r="I102" s="92"/>
      <c r="J102" s="69"/>
      <c r="K102" s="92"/>
      <c r="L102" s="92"/>
      <c r="M102" s="69"/>
      <c r="N102" s="69"/>
      <c r="O102" s="91"/>
      <c r="P102" s="87"/>
    </row>
    <row r="103" spans="2:27" x14ac:dyDescent="0.3">
      <c r="B103" s="1"/>
      <c r="C103" s="93" t="s">
        <v>107</v>
      </c>
      <c r="D103" s="93"/>
      <c r="G103" s="1"/>
      <c r="H103" s="93" t="s">
        <v>99</v>
      </c>
      <c r="I103" s="93"/>
      <c r="J103" s="1"/>
      <c r="K103" s="93"/>
      <c r="L103" s="93"/>
      <c r="M103" s="1"/>
      <c r="N103" s="1"/>
    </row>
    <row r="104" spans="2:27" x14ac:dyDescent="0.3">
      <c r="B104" s="1"/>
    </row>
    <row r="107" spans="2:27" ht="10.5" customHeight="1" x14ac:dyDescent="0.3"/>
    <row r="109" spans="2:27" x14ac:dyDescent="0.3">
      <c r="B109" s="92" t="s">
        <v>102</v>
      </c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88"/>
    </row>
    <row r="110" spans="2:27" x14ac:dyDescent="0.3">
      <c r="B110" s="94" t="s">
        <v>100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89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</row>
    <row r="113" spans="2:16" x14ac:dyDescent="0.3">
      <c r="B113" s="17"/>
      <c r="C113" s="69"/>
      <c r="D113" s="69"/>
      <c r="E113" s="69"/>
      <c r="F113" s="69"/>
      <c r="G113" s="69"/>
      <c r="H113" s="70"/>
      <c r="I113" s="70"/>
      <c r="J113" s="70"/>
      <c r="K113" s="70"/>
      <c r="L113" s="70"/>
      <c r="M113" s="70"/>
      <c r="N113" s="70"/>
    </row>
    <row r="114" spans="2:16" x14ac:dyDescent="0.3">
      <c r="O114" s="51"/>
      <c r="P114" s="84"/>
    </row>
  </sheetData>
  <mergeCells count="14">
    <mergeCell ref="K102:L102"/>
    <mergeCell ref="K103:L103"/>
    <mergeCell ref="B109:O109"/>
    <mergeCell ref="B110:O110"/>
    <mergeCell ref="B1:O1"/>
    <mergeCell ref="B2:O2"/>
    <mergeCell ref="B3:O3"/>
    <mergeCell ref="B4:O4"/>
    <mergeCell ref="B5:C5"/>
    <mergeCell ref="B82:O83"/>
    <mergeCell ref="C102:D102"/>
    <mergeCell ref="C103:D103"/>
    <mergeCell ref="H102:I102"/>
    <mergeCell ref="H103:I103"/>
  </mergeCells>
  <printOptions horizontalCentered="1"/>
  <pageMargins left="0" right="0" top="0.59055118110236227" bottom="3.937007874015748E-2" header="0.11811023622047245" footer="3.937007874015748E-2"/>
  <pageSetup paperSize="5" scale="47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2024-01-04T14:57:31Z</cp:lastPrinted>
  <dcterms:created xsi:type="dcterms:W3CDTF">2023-07-04T20:33:25Z</dcterms:created>
  <dcterms:modified xsi:type="dcterms:W3CDTF">2024-01-05T15:02:09Z</dcterms:modified>
</cp:coreProperties>
</file>