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nchez\Desktop\ODAC\AASG\PRESUPUESTO\03 2023\Ejecución Presupuestaria 2023\"/>
    </mc:Choice>
  </mc:AlternateContent>
  <xr:revisionPtr revIDLastSave="0" documentId="13_ncr:1_{2B9894C9-4757-4361-AEC1-49BC5F714260}" xr6:coauthVersionLast="47" xr6:coauthVersionMax="47" xr10:uidLastSave="{00000000-0000-0000-0000-000000000000}"/>
  <bookViews>
    <workbookView xWindow="-120" yWindow="-120" windowWidth="20730" windowHeight="11160" xr2:uid="{BFD710E0-7058-4257-833B-17FDF1AA8AE0}"/>
  </bookViews>
  <sheets>
    <sheet name="Noviembre 2023" sheetId="2" r:id="rId1"/>
  </sheets>
  <definedNames>
    <definedName name="_xlnm.Print_Area" localSheetId="0">'Noviembre 2023'!$A$1:$N$110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1" i="2" l="1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M14" i="2"/>
  <c r="M10" i="2"/>
  <c r="M34" i="2"/>
  <c r="M25" i="2" s="1"/>
  <c r="M23" i="2"/>
  <c r="N29" i="2"/>
  <c r="N91" i="2"/>
  <c r="N89" i="2"/>
  <c r="N88" i="2"/>
  <c r="N86" i="2"/>
  <c r="N85" i="2"/>
  <c r="M90" i="2"/>
  <c r="M87" i="2"/>
  <c r="M84" i="2"/>
  <c r="M76" i="2"/>
  <c r="M70" i="2"/>
  <c r="M65" i="2"/>
  <c r="M53" i="2"/>
  <c r="M35" i="2"/>
  <c r="M15" i="2"/>
  <c r="L42" i="2"/>
  <c r="L35" i="2" s="1"/>
  <c r="L34" i="2"/>
  <c r="L26" i="2"/>
  <c r="L23" i="2"/>
  <c r="L25" i="2"/>
  <c r="L14" i="2"/>
  <c r="L90" i="2"/>
  <c r="L87" i="2"/>
  <c r="L84" i="2"/>
  <c r="L76" i="2"/>
  <c r="L70" i="2"/>
  <c r="L65" i="2"/>
  <c r="L53" i="2"/>
  <c r="L15" i="2"/>
  <c r="K65" i="2"/>
  <c r="K70" i="2"/>
  <c r="K76" i="2"/>
  <c r="K24" i="2"/>
  <c r="K15" i="2" s="1"/>
  <c r="K9" i="2"/>
  <c r="K90" i="2"/>
  <c r="K87" i="2"/>
  <c r="K84" i="2"/>
  <c r="K53" i="2"/>
  <c r="K35" i="2"/>
  <c r="K25" i="2"/>
  <c r="J10" i="2"/>
  <c r="J9" i="2" s="1"/>
  <c r="J90" i="2"/>
  <c r="I90" i="2"/>
  <c r="H90" i="2"/>
  <c r="G90" i="2"/>
  <c r="F90" i="2"/>
  <c r="E90" i="2"/>
  <c r="D90" i="2"/>
  <c r="C90" i="2"/>
  <c r="J87" i="2"/>
  <c r="I87" i="2"/>
  <c r="H87" i="2"/>
  <c r="G87" i="2"/>
  <c r="F87" i="2"/>
  <c r="E87" i="2"/>
  <c r="D87" i="2"/>
  <c r="C87" i="2"/>
  <c r="J84" i="2"/>
  <c r="I84" i="2"/>
  <c r="H84" i="2"/>
  <c r="G84" i="2"/>
  <c r="F84" i="2"/>
  <c r="E84" i="2"/>
  <c r="D84" i="2"/>
  <c r="C84" i="2"/>
  <c r="J76" i="2"/>
  <c r="I76" i="2"/>
  <c r="H76" i="2"/>
  <c r="G76" i="2"/>
  <c r="D76" i="2"/>
  <c r="C76" i="2"/>
  <c r="J70" i="2"/>
  <c r="I70" i="2"/>
  <c r="H70" i="2"/>
  <c r="G70" i="2"/>
  <c r="D70" i="2"/>
  <c r="C70" i="2"/>
  <c r="J65" i="2"/>
  <c r="I65" i="2"/>
  <c r="H65" i="2"/>
  <c r="G65" i="2"/>
  <c r="D65" i="2"/>
  <c r="C65" i="2"/>
  <c r="J53" i="2"/>
  <c r="I53" i="2"/>
  <c r="H53" i="2"/>
  <c r="G53" i="2"/>
  <c r="F53" i="2"/>
  <c r="E53" i="2"/>
  <c r="D53" i="2"/>
  <c r="C53" i="2"/>
  <c r="I45" i="2"/>
  <c r="H45" i="2"/>
  <c r="G45" i="2"/>
  <c r="F45" i="2"/>
  <c r="E45" i="2"/>
  <c r="D45" i="2"/>
  <c r="C45" i="2"/>
  <c r="J35" i="2"/>
  <c r="I35" i="2"/>
  <c r="H35" i="2"/>
  <c r="G35" i="2"/>
  <c r="F35" i="2"/>
  <c r="E35" i="2"/>
  <c r="D35" i="2"/>
  <c r="C35" i="2"/>
  <c r="I34" i="2"/>
  <c r="I26" i="2"/>
  <c r="J25" i="2"/>
  <c r="H25" i="2"/>
  <c r="G25" i="2"/>
  <c r="F25" i="2"/>
  <c r="E25" i="2"/>
  <c r="D25" i="2"/>
  <c r="C25" i="2"/>
  <c r="J24" i="2"/>
  <c r="J20" i="2"/>
  <c r="J15" i="2" s="1"/>
  <c r="I15" i="2"/>
  <c r="H15" i="2"/>
  <c r="G15" i="2"/>
  <c r="F15" i="2"/>
  <c r="E15" i="2"/>
  <c r="D15" i="2"/>
  <c r="C15" i="2"/>
  <c r="I14" i="2"/>
  <c r="H14" i="2"/>
  <c r="G14" i="2"/>
  <c r="F14" i="2"/>
  <c r="E14" i="2"/>
  <c r="I10" i="2"/>
  <c r="H10" i="2"/>
  <c r="G10" i="2"/>
  <c r="F10" i="2"/>
  <c r="F9" i="2" s="1"/>
  <c r="E10" i="2"/>
  <c r="D9" i="2"/>
  <c r="C9" i="2"/>
  <c r="M9" i="2" l="1"/>
  <c r="M81" i="2"/>
  <c r="M94" i="2" s="1"/>
  <c r="N90" i="2"/>
  <c r="I9" i="2"/>
  <c r="N84" i="2"/>
  <c r="N87" i="2"/>
  <c r="G9" i="2"/>
  <c r="G81" i="2" s="1"/>
  <c r="G94" i="2" s="1"/>
  <c r="L9" i="2"/>
  <c r="L81" i="2" s="1"/>
  <c r="L94" i="2" s="1"/>
  <c r="E9" i="2"/>
  <c r="E81" i="2" s="1"/>
  <c r="E94" i="2" s="1"/>
  <c r="K81" i="2"/>
  <c r="K94" i="2" s="1"/>
  <c r="H9" i="2"/>
  <c r="C81" i="2"/>
  <c r="C94" i="2" s="1"/>
  <c r="D81" i="2"/>
  <c r="D94" i="2" s="1"/>
  <c r="J81" i="2"/>
  <c r="J94" i="2" s="1"/>
  <c r="H81" i="2"/>
  <c r="H94" i="2" s="1"/>
  <c r="F81" i="2"/>
  <c r="F94" i="2" s="1"/>
  <c r="I25" i="2"/>
  <c r="I81" i="2" s="1"/>
  <c r="I94" i="2" s="1"/>
  <c r="N94" i="2" l="1"/>
</calcChain>
</file>

<file path=xl/sharedStrings.xml><?xml version="1.0" encoding="utf-8"?>
<sst xmlns="http://schemas.openxmlformats.org/spreadsheetml/2006/main" count="109" uniqueCount="109">
  <si>
    <t>Organismo Dominicano de Acreditación - ODAC</t>
  </si>
  <si>
    <t>Año 2023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</si>
  <si>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</si>
  <si>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</si>
  <si>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</si>
  <si>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</si>
  <si>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</si>
  <si>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</si>
  <si>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</si>
  <si>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</si>
  <si>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</si>
  <si>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</si>
  <si>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</si>
  <si>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</si>
  <si>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</si>
  <si>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</si>
  <si>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</si>
  <si>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</si>
  <si>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</si>
  <si>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</si>
  <si>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</si>
  <si>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</si>
  <si>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</si>
  <si>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</si>
  <si>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</si>
  <si>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</si>
  <si>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</si>
  <si>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</si>
  <si>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</si>
  <si>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</si>
  <si>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</si>
  <si>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</si>
  <si>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</si>
  <si>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</si>
  <si>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</si>
  <si>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</si>
  <si>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</si>
  <si>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</si>
  <si>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</si>
  <si>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</si>
  <si>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</si>
  <si>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</si>
  <si>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</si>
  <si>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</si>
  <si>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</si>
  <si>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</si>
  <si>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</si>
  <si>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</si>
  <si>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</si>
  <si>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</si>
  <si>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</si>
  <si>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</si>
  <si>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</si>
  <si>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</si>
  <si>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</si>
  <si>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</si>
  <si>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</si>
  <si>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</si>
  <si>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</si>
  <si>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</si>
  <si>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</si>
  <si>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</si>
  <si>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</si>
  <si>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</si>
  <si>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</si>
  <si>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</si>
  <si>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</si>
  <si>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</si>
  <si>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</si>
  <si>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</si>
  <si>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</si>
  <si>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</si>
  <si>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</si>
  <si>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</si>
  <si>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</si>
  <si>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</si>
  <si>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</si>
  <si>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</si>
  <si>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</si>
  <si>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</si>
  <si>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</si>
  <si>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</si>
  <si>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</si>
  <si>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</si>
  <si>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</si>
  <si>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</si>
  <si>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</si>
  <si>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</si>
  <si>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</si>
  <si>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</si>
  <si>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</si>
  <si>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</si>
  <si>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</si>
  <si>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</si>
  <si>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</si>
  <si>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</si>
  <si>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</si>
  <si>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</si>
  <si>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>Aura M. Segura Matos</t>
  </si>
  <si>
    <t>Encargada Administrativa Financiera</t>
  </si>
  <si>
    <t>Director Ejecutivo</t>
  </si>
  <si>
    <t xml:space="preserve">Julio </t>
  </si>
  <si>
    <t>Ángel David Taveras Difo</t>
  </si>
  <si>
    <t>Agosto</t>
  </si>
  <si>
    <t>Septiembre</t>
  </si>
  <si>
    <t>Octubre</t>
  </si>
  <si>
    <t xml:space="preserve">            Angel A. Sánchez González</t>
  </si>
  <si>
    <t xml:space="preserve">           Encargado de Presupuesto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</si>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</sst>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43" fontId="2" fillId="0" borderId="1" xfId="2" applyNumberFormat="1" applyFont="1" applyBorder="1" applyAlignment="1">
      <alignment horizontal="right" vertical="justify" wrapText="1"/>
    </xf>
    <xf numFmtId="4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43" fontId="2" fillId="0" borderId="0" xfId="1" applyFont="1"/>
    <xf numFmtId="0" fontId="2" fillId="0" borderId="0" xfId="0" applyFont="1"/>
    <xf numFmtId="49" fontId="8" fillId="0" borderId="3" xfId="0" applyNumberFormat="1" applyFont="1" applyBorder="1" applyAlignment="1">
      <alignment horizontal="left" wrapText="1" indent="4"/>
    </xf>
    <xf numFmtId="43" fontId="0" fillId="0" borderId="3" xfId="2" applyNumberFormat="1" applyFont="1" applyBorder="1" applyAlignment="1">
      <alignment horizontal="right" vertical="justify" wrapText="1"/>
    </xf>
    <xf numFmtId="4" fontId="0" fillId="0" borderId="3" xfId="2" applyNumberFormat="1" applyFont="1" applyBorder="1" applyAlignment="1">
      <alignment horizontal="right" vertical="justify" wrapText="1"/>
    </xf>
    <xf numFmtId="4" fontId="0" fillId="0" borderId="3" xfId="1" applyNumberFormat="1" applyFont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4" fontId="0" fillId="0" borderId="3" xfId="0" applyNumberFormat="1" applyBorder="1" applyAlignment="1">
      <alignment horizontal="right" vertical="justify" wrapText="1"/>
    </xf>
    <xf numFmtId="43" fontId="0" fillId="0" borderId="4" xfId="2" applyNumberFormat="1" applyFont="1" applyBorder="1" applyAlignment="1">
      <alignment horizontal="right" vertical="justify" wrapText="1"/>
    </xf>
    <xf numFmtId="43" fontId="0" fillId="0" borderId="0" xfId="0" applyNumberFormat="1"/>
    <xf numFmtId="49" fontId="7" fillId="0" borderId="3" xfId="0" applyNumberFormat="1" applyFont="1" applyBorder="1" applyAlignment="1">
      <alignment horizontal="left" indent="4"/>
    </xf>
    <xf numFmtId="43" fontId="2" fillId="0" borderId="3" xfId="2" applyNumberFormat="1" applyFont="1" applyBorder="1" applyAlignment="1">
      <alignment horizontal="right" vertical="justify" wrapText="1"/>
    </xf>
    <xf numFmtId="4" fontId="2" fillId="0" borderId="3" xfId="2" applyNumberFormat="1" applyFont="1" applyBorder="1" applyAlignment="1">
      <alignment horizontal="right" vertical="justify" wrapText="1"/>
    </xf>
    <xf numFmtId="4" fontId="2" fillId="0" borderId="3" xfId="1" applyNumberFormat="1" applyFont="1" applyBorder="1" applyAlignment="1">
      <alignment horizontal="right" vertical="justify" wrapText="1"/>
    </xf>
    <xf numFmtId="43" fontId="0" fillId="0" borderId="3" xfId="1" applyFon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43" fontId="0" fillId="0" borderId="4" xfId="1" applyFont="1" applyBorder="1" applyAlignment="1">
      <alignment horizontal="right" vertical="justify" wrapText="1"/>
    </xf>
    <xf numFmtId="4" fontId="0" fillId="0" borderId="4" xfId="1" applyNumberFormat="1" applyFont="1" applyBorder="1" applyAlignment="1">
      <alignment horizontal="right" vertical="justify" wrapText="1"/>
    </xf>
    <xf numFmtId="2" fontId="2" fillId="0" borderId="3" xfId="0" applyNumberFormat="1" applyFont="1" applyBorder="1" applyAlignment="1">
      <alignment horizontal="right" vertical="justify" wrapText="1"/>
    </xf>
    <xf numFmtId="49" fontId="8" fillId="0" borderId="3" xfId="0" applyNumberFormat="1" applyFont="1" applyBorder="1" applyAlignment="1">
      <alignment horizontal="left" indent="4"/>
    </xf>
    <xf numFmtId="4" fontId="2" fillId="0" borderId="3" xfId="0" applyNumberFormat="1" applyFont="1" applyBorder="1" applyAlignment="1">
      <alignment horizontal="right" vertical="justify" wrapText="1"/>
    </xf>
    <xf numFmtId="0" fontId="0" fillId="0" borderId="0" xfId="0" applyAlignment="1">
      <alignment wrapText="1"/>
    </xf>
    <xf numFmtId="49" fontId="8" fillId="0" borderId="3" xfId="0" applyNumberFormat="1" applyFont="1" applyBorder="1" applyAlignment="1">
      <alignment horizontal="left" vertical="top" wrapText="1" indent="4"/>
    </xf>
    <xf numFmtId="49" fontId="8" fillId="0" borderId="2" xfId="0" applyNumberFormat="1" applyFont="1" applyBorder="1" applyAlignment="1">
      <alignment horizontal="left" wrapText="1" indent="4"/>
    </xf>
    <xf numFmtId="2" fontId="0" fillId="0" borderId="2" xfId="0" applyNumberFormat="1" applyBorder="1" applyAlignment="1">
      <alignment horizontal="right" vertical="justify" wrapText="1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" fontId="2" fillId="0" borderId="1" xfId="0" applyNumberFormat="1" applyFon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wrapText="1" indent="4"/>
    </xf>
    <xf numFmtId="2" fontId="2" fillId="0" borderId="5" xfId="0" applyNumberFormat="1" applyFont="1" applyBorder="1" applyAlignment="1">
      <alignment horizontal="right" vertical="justify" wrapText="1"/>
    </xf>
    <xf numFmtId="49" fontId="9" fillId="3" borderId="1" xfId="0" applyNumberFormat="1" applyFont="1" applyFill="1" applyBorder="1" applyAlignment="1">
      <alignment horizontal="left"/>
    </xf>
    <xf numFmtId="164" fontId="10" fillId="3" borderId="1" xfId="2" applyFont="1" applyFill="1" applyBorder="1" applyAlignment="1">
      <alignment horizontal="right" vertical="justify" wrapText="1"/>
    </xf>
    <xf numFmtId="4" fontId="10" fillId="3" borderId="1" xfId="2" applyNumberFormat="1" applyFont="1" applyFill="1" applyBorder="1" applyAlignment="1">
      <alignment horizontal="right" vertical="justify" wrapText="1"/>
    </xf>
    <xf numFmtId="2" fontId="2" fillId="0" borderId="1" xfId="0" applyNumberFormat="1" applyFont="1" applyBorder="1"/>
    <xf numFmtId="4" fontId="2" fillId="0" borderId="9" xfId="0" applyNumberFormat="1" applyFont="1" applyBorder="1"/>
    <xf numFmtId="4" fontId="2" fillId="0" borderId="0" xfId="0" applyNumberFormat="1" applyFont="1"/>
    <xf numFmtId="2" fontId="0" fillId="0" borderId="3" xfId="0" applyNumberFormat="1" applyBorder="1"/>
    <xf numFmtId="4" fontId="0" fillId="0" borderId="4" xfId="0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4" fontId="2" fillId="0" borderId="4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4" fontId="0" fillId="0" borderId="8" xfId="0" applyNumberFormat="1" applyBorder="1"/>
    <xf numFmtId="49" fontId="7" fillId="3" borderId="9" xfId="0" applyNumberFormat="1" applyFont="1" applyFill="1" applyBorder="1" applyAlignment="1">
      <alignment horizontal="left" indent="4"/>
    </xf>
    <xf numFmtId="4" fontId="7" fillId="3" borderId="9" xfId="0" applyNumberFormat="1" applyFont="1" applyFill="1" applyBorder="1" applyAlignment="1">
      <alignment horizontal="left" indent="4"/>
    </xf>
    <xf numFmtId="4" fontId="7" fillId="3" borderId="1" xfId="2" applyNumberFormat="1" applyFont="1" applyFill="1" applyBorder="1" applyAlignment="1">
      <alignment horizontal="left" indent="4"/>
    </xf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0" fontId="2" fillId="3" borderId="2" xfId="0" applyFont="1" applyFill="1" applyBorder="1"/>
    <xf numFmtId="164" fontId="11" fillId="3" borderId="2" xfId="0" applyNumberFormat="1" applyFont="1" applyFill="1" applyBorder="1"/>
    <xf numFmtId="4" fontId="11" fillId="3" borderId="2" xfId="0" applyNumberFormat="1" applyFont="1" applyFill="1" applyBorder="1"/>
    <xf numFmtId="43" fontId="0" fillId="0" borderId="0" xfId="1" applyFont="1"/>
    <xf numFmtId="4" fontId="0" fillId="0" borderId="0" xfId="1" applyNumberFormat="1" applyFont="1"/>
    <xf numFmtId="164" fontId="0" fillId="0" borderId="0" xfId="0" applyNumberForma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4" fontId="2" fillId="0" borderId="1" xfId="0" applyNumberFormat="1" applyFont="1" applyBorder="1"/>
    <xf numFmtId="4" fontId="2" fillId="0" borderId="3" xfId="0" applyNumberFormat="1" applyFont="1" applyBorder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10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11" fillId="4" borderId="0" xfId="0" applyNumberFormat="1" applyFont="1" applyFill="1"/>
    <xf numFmtId="4" fontId="0" fillId="4" borderId="0" xfId="1" applyNumberFormat="1" applyFont="1" applyFill="1"/>
    <xf numFmtId="4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10" fontId="0" fillId="0" borderId="0" xfId="3" applyNumberFormat="1" applyFont="1"/>
    <xf numFmtId="10" fontId="2" fillId="0" borderId="0" xfId="3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7" fillId="0" borderId="5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D5F2CA7F-461A-426C-898D-C1C5C88E6D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66675</xdr:colOff>
      <xdr:row>0</xdr:row>
      <xdr:rowOff>161925</xdr:rowOff>
    </xdr:from>
    <xdr:to>
      <xdr:col>13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E3856CA7-0A71-424D-8D94-0612A254B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457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6224586</xdr:colOff>
      <xdr:row>100</xdr:row>
      <xdr:rowOff>175155</xdr:rowOff>
    </xdr:from>
    <xdr:to>
      <xdr:col>4</xdr:col>
      <xdr:colOff>300036</xdr:colOff>
      <xdr:row>100</xdr:row>
      <xdr:rowOff>176212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8481791-C403-428A-A46C-BB80BE84DD5F}"/>
            </a:ext>
          </a:extLst>
        </xdr:cNvPr>
        <xdr:cNvCxnSpPr/>
      </xdr:nvCxnSpPr>
      <xdr:spPr>
        <a:xfrm flipV="1">
          <a:off x="6224586" y="22689874"/>
          <a:ext cx="3219450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1366495</xdr:colOff>
      <xdr:row>108</xdr:row>
      <xdr:rowOff>1361</xdr:rowOff>
    </xdr:from>
    <xdr:to>
      <xdr:col>6</xdr:col>
      <xdr:colOff>367390</xdr:colOff>
      <xdr:row>108</xdr:row>
      <xdr:rowOff>1362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2C7B83C-A69C-4F97-A6D9-02A27BC8D6C5}"/>
            </a:ext>
          </a:extLst>
        </xdr:cNvPr>
        <xdr:cNvCxnSpPr/>
      </xdr:nvCxnSpPr>
      <xdr:spPr>
        <a:xfrm flipV="1">
          <a:off x="9117464" y="23980549"/>
          <a:ext cx="3179989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1148103</xdr:colOff>
      <xdr:row>101</xdr:row>
      <xdr:rowOff>0</xdr:rowOff>
    </xdr:from>
    <xdr:to>
      <xdr:col>9</xdr:col>
      <xdr:colOff>250031</xdr:colOff>
      <xdr:row>101</xdr:row>
      <xdr:rowOff>11263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E1747C6-3972-42D4-91B9-576B9B2251C5}"/>
            </a:ext>
          </a:extLst>
        </xdr:cNvPr>
        <xdr:cNvCxnSpPr/>
      </xdr:nvCxnSpPr>
      <xdr:spPr>
        <a:xfrm flipV="1">
          <a:off x="13078166" y="22705219"/>
          <a:ext cx="3281021" cy="1126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B671A-B3DE-4C23-8BE4-6922FE7B0A22}">
  <sheetPr>
    <tabColor rgb="FFFF0000"/>
  </sheetPr>
  <dimension ref="A1:Z114"/>
  <sheetViews>
    <sheetView showGridLines="0" tabSelected="1" topLeftCell="B1" zoomScale="80" zoomScaleNormal="80" zoomScaleSheetLayoutView="80" workbookViewId="0">
      <selection activeCell="D9" sqref="D7:D9"/>
    </sheetView>
  </sheetViews>
  <sheetFormatPr baseColWidth="10" defaultColWidth="9.140625" defaultRowHeight="15" x14ac:dyDescent="0.25"/>
  <cols>
    <col min="1" max="1" width="1.28515625" hidden="1" customWidth="1"/>
    <col min="2" max="2" width="97.5703125" customWidth="1"/>
    <col min="3" max="3" width="18.7109375" customWidth="1"/>
    <col min="4" max="7" width="20.85546875" customWidth="1"/>
    <col min="8" max="13" width="20.85546875" style="3" customWidth="1"/>
    <col min="14" max="14" width="22" style="3" customWidth="1"/>
    <col min="15" max="15" width="10.85546875" style="80" bestFit="1" customWidth="1"/>
    <col min="16" max="16" width="14.5703125" bestFit="1" customWidth="1"/>
  </cols>
  <sheetData>
    <row r="1" spans="2:16" ht="32.25" customHeight="1" x14ac:dyDescent="0.35">
      <c r="B1" s="99" t="s">
        <v>0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77"/>
    </row>
    <row r="2" spans="2:16" ht="20.25" x14ac:dyDescent="0.3">
      <c r="B2" s="100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78"/>
    </row>
    <row r="3" spans="2:16" ht="20.25" x14ac:dyDescent="0.3"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79"/>
    </row>
    <row r="4" spans="2:16" ht="20.25" x14ac:dyDescent="0.3">
      <c r="B4" s="101" t="s">
        <v>3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79"/>
    </row>
    <row r="5" spans="2:16" x14ac:dyDescent="0.25">
      <c r="B5" s="97"/>
      <c r="C5" s="97"/>
      <c r="D5" s="1"/>
      <c r="E5" s="1"/>
      <c r="F5" s="1"/>
      <c r="G5" s="1"/>
      <c r="H5" s="2"/>
      <c r="I5" s="2"/>
      <c r="J5" s="2"/>
      <c r="K5" s="2"/>
      <c r="L5" s="2"/>
      <c r="M5" s="2"/>
    </row>
    <row r="6" spans="2:16" ht="5.25" customHeight="1" x14ac:dyDescent="0.25">
      <c r="B6" s="4"/>
      <c r="C6" s="4"/>
      <c r="D6" s="4"/>
      <c r="E6" s="4"/>
      <c r="F6" s="4"/>
      <c r="G6" s="4"/>
      <c r="H6" s="5"/>
      <c r="I6" s="5"/>
      <c r="J6" s="5"/>
      <c r="K6" s="5"/>
      <c r="L6" s="5"/>
      <c r="M6" s="5"/>
    </row>
    <row r="7" spans="2:16" ht="18.75" x14ac:dyDescent="0.3"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7" t="s">
        <v>10</v>
      </c>
      <c r="I7" s="7" t="s">
        <v>101</v>
      </c>
      <c r="J7" s="7" t="s">
        <v>103</v>
      </c>
      <c r="K7" s="7" t="s">
        <v>104</v>
      </c>
      <c r="L7" s="7" t="s">
        <v>105</v>
      </c>
      <c r="M7" s="7" t="s">
        <v>108</v>
      </c>
      <c r="N7" s="7" t="s">
        <v>11</v>
      </c>
    </row>
    <row r="8" spans="2:16" x14ac:dyDescent="0.25">
      <c r="B8" s="8" t="s">
        <v>12</v>
      </c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1"/>
    </row>
    <row r="9" spans="2:16" s="17" customFormat="1" ht="18" customHeight="1" x14ac:dyDescent="0.25">
      <c r="B9" s="12" t="s">
        <v>13</v>
      </c>
      <c r="C9" s="13">
        <f t="shared" ref="C9:H9" si="0">SUM(C10:C14)</f>
        <v>3949727.49</v>
      </c>
      <c r="D9" s="13">
        <f t="shared" si="0"/>
        <v>3949727.49</v>
      </c>
      <c r="E9" s="13">
        <f t="shared" si="0"/>
        <v>3869078.94</v>
      </c>
      <c r="F9" s="13">
        <f t="shared" si="0"/>
        <v>4306031.4400000004</v>
      </c>
      <c r="G9" s="13">
        <f t="shared" si="0"/>
        <v>6713582.8499999996</v>
      </c>
      <c r="H9" s="14">
        <f t="shared" si="0"/>
        <v>3775578.74</v>
      </c>
      <c r="I9" s="14">
        <f t="shared" ref="I9:M9" si="1">SUM(I10:I14)</f>
        <v>3915955.0700000003</v>
      </c>
      <c r="J9" s="14">
        <f t="shared" si="1"/>
        <v>3915192.5</v>
      </c>
      <c r="K9" s="14">
        <f t="shared" si="1"/>
        <v>3991905.0599999996</v>
      </c>
      <c r="L9" s="14">
        <f t="shared" si="1"/>
        <v>6950340.4199999999</v>
      </c>
      <c r="M9" s="14">
        <f t="shared" si="1"/>
        <v>7471264.9299999997</v>
      </c>
      <c r="N9" s="15">
        <f t="shared" ref="N9:N28" si="2">SUM(C9:M9)</f>
        <v>52808384.930000007</v>
      </c>
      <c r="O9" s="81"/>
      <c r="P9" s="16"/>
    </row>
    <row r="10" spans="2:16" ht="18" customHeight="1" x14ac:dyDescent="0.25">
      <c r="B10" s="18" t="s">
        <v>14</v>
      </c>
      <c r="C10" s="19">
        <v>3185700</v>
      </c>
      <c r="D10" s="19">
        <v>3185700</v>
      </c>
      <c r="E10" s="19">
        <f>2190700+925000</f>
        <v>3115700</v>
      </c>
      <c r="F10" s="19">
        <f>2255305.45+925000</f>
        <v>3180305.45</v>
      </c>
      <c r="G10" s="19">
        <f>2397049.79+820000</f>
        <v>3217049.79</v>
      </c>
      <c r="H10" s="20">
        <f>2148200+915000</f>
        <v>3063200</v>
      </c>
      <c r="I10" s="20">
        <f>2394179.23+785000</f>
        <v>3179179.23</v>
      </c>
      <c r="J10" s="20">
        <f>3168963.9</f>
        <v>3168963.9</v>
      </c>
      <c r="K10" s="20">
        <v>3228866.67</v>
      </c>
      <c r="L10" s="20">
        <v>3136117.4</v>
      </c>
      <c r="M10" s="20">
        <f>5648961.12+865000</f>
        <v>6513961.1200000001</v>
      </c>
      <c r="N10" s="21">
        <f t="shared" si="2"/>
        <v>38174743.559999995</v>
      </c>
      <c r="O10" s="82"/>
      <c r="P10" s="3"/>
    </row>
    <row r="11" spans="2:16" ht="18" customHeight="1" x14ac:dyDescent="0.25">
      <c r="B11" s="18" t="s">
        <v>15</v>
      </c>
      <c r="C11" s="19">
        <v>253000</v>
      </c>
      <c r="D11" s="19">
        <v>253000</v>
      </c>
      <c r="E11" s="19">
        <v>253000</v>
      </c>
      <c r="F11" s="19">
        <v>621900</v>
      </c>
      <c r="G11" s="19">
        <v>3011616.66</v>
      </c>
      <c r="H11" s="20">
        <v>253000</v>
      </c>
      <c r="I11" s="20">
        <v>253000</v>
      </c>
      <c r="J11" s="20">
        <v>253000</v>
      </c>
      <c r="K11" s="20">
        <v>253000</v>
      </c>
      <c r="L11" s="20">
        <v>3276922.22</v>
      </c>
      <c r="M11" s="20">
        <v>480250</v>
      </c>
      <c r="N11" s="21">
        <f t="shared" si="2"/>
        <v>9161688.8800000008</v>
      </c>
      <c r="O11" s="82"/>
      <c r="P11" s="3"/>
    </row>
    <row r="12" spans="2:16" ht="18" customHeight="1" x14ac:dyDescent="0.25">
      <c r="B12" s="18" t="s">
        <v>16</v>
      </c>
      <c r="C12" s="19">
        <v>36750</v>
      </c>
      <c r="D12" s="19">
        <v>36750</v>
      </c>
      <c r="E12" s="19">
        <v>36750</v>
      </c>
      <c r="F12" s="19">
        <v>36750</v>
      </c>
      <c r="G12" s="19">
        <v>36620.800000000003</v>
      </c>
      <c r="H12" s="20">
        <v>0</v>
      </c>
      <c r="I12" s="20">
        <v>26752.2</v>
      </c>
      <c r="J12" s="20">
        <v>35852.230000000003</v>
      </c>
      <c r="K12" s="20">
        <v>25390.55</v>
      </c>
      <c r="L12" s="20">
        <v>72421.88</v>
      </c>
      <c r="M12" s="20">
        <v>0</v>
      </c>
      <c r="N12" s="21">
        <f t="shared" si="2"/>
        <v>344037.66000000003</v>
      </c>
      <c r="O12" s="82"/>
      <c r="P12" s="3"/>
    </row>
    <row r="13" spans="2:16" ht="18" customHeight="1" x14ac:dyDescent="0.25">
      <c r="B13" s="18" t="s">
        <v>17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1">
        <f t="shared" si="2"/>
        <v>0</v>
      </c>
      <c r="O13" s="82"/>
      <c r="P13" s="3"/>
    </row>
    <row r="14" spans="2:16" ht="18" customHeight="1" x14ac:dyDescent="0.25">
      <c r="B14" s="18" t="s">
        <v>18</v>
      </c>
      <c r="C14" s="22">
        <v>474277.49</v>
      </c>
      <c r="D14" s="19">
        <v>474277.49</v>
      </c>
      <c r="E14" s="24">
        <f>324888.14+138740.8</f>
        <v>463628.94</v>
      </c>
      <c r="F14" s="24">
        <f>327691.15+139384.84</f>
        <v>467075.99</v>
      </c>
      <c r="G14" s="24">
        <f>324633.15+123662.45</f>
        <v>448295.60000000003</v>
      </c>
      <c r="H14" s="23">
        <f>321190.79+138187.95</f>
        <v>459378.74</v>
      </c>
      <c r="I14" s="23">
        <f>338105.58+118918.06</f>
        <v>457023.64</v>
      </c>
      <c r="J14" s="23">
        <v>457376.37</v>
      </c>
      <c r="K14" s="23">
        <v>484647.84</v>
      </c>
      <c r="L14" s="23">
        <f>334228.08+130650.84</f>
        <v>464878.92000000004</v>
      </c>
      <c r="M14" s="23">
        <f>346402.97+130650.84</f>
        <v>477053.80999999994</v>
      </c>
      <c r="N14" s="21">
        <f t="shared" si="2"/>
        <v>5127914.83</v>
      </c>
      <c r="O14" s="82"/>
      <c r="P14" s="3"/>
    </row>
    <row r="15" spans="2:16" s="17" customFormat="1" ht="18" customHeight="1" x14ac:dyDescent="0.25">
      <c r="B15" s="26" t="s">
        <v>19</v>
      </c>
      <c r="C15" s="27">
        <f t="shared" ref="C15:H15" si="3">SUM(C16:C24)</f>
        <v>328132.12</v>
      </c>
      <c r="D15" s="27">
        <f t="shared" si="3"/>
        <v>1049851.2100000002</v>
      </c>
      <c r="E15" s="27">
        <f t="shared" si="3"/>
        <v>1186207.5900000001</v>
      </c>
      <c r="F15" s="27">
        <f t="shared" si="3"/>
        <v>1100870.8799999999</v>
      </c>
      <c r="G15" s="27">
        <f t="shared" si="3"/>
        <v>798226.55999999994</v>
      </c>
      <c r="H15" s="28">
        <f t="shared" si="3"/>
        <v>1344080.69</v>
      </c>
      <c r="I15" s="28">
        <f t="shared" ref="I15:M15" si="4">SUM(I16:I24)</f>
        <v>2771865.26</v>
      </c>
      <c r="J15" s="28">
        <f t="shared" si="4"/>
        <v>1241492.27</v>
      </c>
      <c r="K15" s="28">
        <f t="shared" si="4"/>
        <v>1083331.77</v>
      </c>
      <c r="L15" s="28">
        <f t="shared" si="4"/>
        <v>2259083.63</v>
      </c>
      <c r="M15" s="28">
        <f t="shared" si="4"/>
        <v>2376935.37</v>
      </c>
      <c r="N15" s="29">
        <f t="shared" si="2"/>
        <v>15540077.349999998</v>
      </c>
      <c r="O15" s="81"/>
      <c r="P15" s="51"/>
    </row>
    <row r="16" spans="2:16" ht="18" customHeight="1" x14ac:dyDescent="0.25">
      <c r="B16" s="18" t="s">
        <v>20</v>
      </c>
      <c r="C16" s="19">
        <v>95364.15</v>
      </c>
      <c r="D16" s="19">
        <v>223607.05000000005</v>
      </c>
      <c r="E16" s="19">
        <v>399854.77</v>
      </c>
      <c r="F16" s="19">
        <v>244830.32</v>
      </c>
      <c r="G16" s="19">
        <v>256148.64</v>
      </c>
      <c r="H16" s="20">
        <v>114534.01</v>
      </c>
      <c r="I16" s="20">
        <v>405609.8</v>
      </c>
      <c r="J16" s="20">
        <v>258289.49</v>
      </c>
      <c r="K16" s="20">
        <v>265594.58999999997</v>
      </c>
      <c r="L16" s="20">
        <v>264296</v>
      </c>
      <c r="M16" s="20">
        <v>261263.61</v>
      </c>
      <c r="N16" s="21">
        <f t="shared" si="2"/>
        <v>2789392.43</v>
      </c>
      <c r="O16" s="82"/>
      <c r="P16" s="3"/>
    </row>
    <row r="17" spans="2:16" ht="18" customHeight="1" x14ac:dyDescent="0.25">
      <c r="B17" s="18" t="s">
        <v>21</v>
      </c>
      <c r="C17" s="22">
        <v>0</v>
      </c>
      <c r="D17" s="22">
        <v>0</v>
      </c>
      <c r="E17" s="19">
        <v>19342.41</v>
      </c>
      <c r="F17" s="22">
        <v>0</v>
      </c>
      <c r="G17" s="30">
        <v>5814</v>
      </c>
      <c r="H17" s="21">
        <v>61480</v>
      </c>
      <c r="I17" s="20">
        <v>8364.9599999999991</v>
      </c>
      <c r="J17" s="20">
        <v>5625</v>
      </c>
      <c r="K17" s="20">
        <v>5625</v>
      </c>
      <c r="L17" s="20">
        <v>11272.11</v>
      </c>
      <c r="M17" s="20">
        <v>5625</v>
      </c>
      <c r="N17" s="21">
        <f t="shared" si="2"/>
        <v>123148.48</v>
      </c>
      <c r="O17" s="82"/>
      <c r="P17" s="3"/>
    </row>
    <row r="18" spans="2:16" ht="18" customHeight="1" x14ac:dyDescent="0.25">
      <c r="B18" s="18" t="s">
        <v>22</v>
      </c>
      <c r="C18" s="22">
        <v>0</v>
      </c>
      <c r="D18" s="22">
        <v>0</v>
      </c>
      <c r="E18" s="19">
        <v>50550</v>
      </c>
      <c r="F18" s="19">
        <v>35800</v>
      </c>
      <c r="G18" s="19">
        <v>35800</v>
      </c>
      <c r="H18" s="20">
        <v>38300</v>
      </c>
      <c r="I18" s="20">
        <v>307784.5</v>
      </c>
      <c r="J18" s="20">
        <v>53700</v>
      </c>
      <c r="K18" s="20">
        <v>209919.84</v>
      </c>
      <c r="L18" s="20">
        <v>42200</v>
      </c>
      <c r="M18" s="20">
        <v>451452.43</v>
      </c>
      <c r="N18" s="21">
        <f t="shared" si="2"/>
        <v>1225506.77</v>
      </c>
      <c r="O18" s="82"/>
    </row>
    <row r="19" spans="2:16" ht="18" customHeight="1" x14ac:dyDescent="0.25">
      <c r="B19" s="18" t="s">
        <v>23</v>
      </c>
      <c r="C19" s="22">
        <v>0</v>
      </c>
      <c r="D19" s="22">
        <v>0</v>
      </c>
      <c r="E19" s="19">
        <v>3600</v>
      </c>
      <c r="F19" s="30">
        <v>30000</v>
      </c>
      <c r="G19" s="30">
        <v>15170</v>
      </c>
      <c r="H19" s="21">
        <v>0</v>
      </c>
      <c r="I19" s="20">
        <v>161536.99</v>
      </c>
      <c r="J19" s="20">
        <v>0</v>
      </c>
      <c r="K19" s="20">
        <v>0</v>
      </c>
      <c r="L19" s="20">
        <v>235199.32</v>
      </c>
      <c r="M19" s="20">
        <v>0</v>
      </c>
      <c r="N19" s="21">
        <f t="shared" si="2"/>
        <v>445506.31</v>
      </c>
      <c r="O19" s="82"/>
    </row>
    <row r="20" spans="2:16" ht="18" customHeight="1" x14ac:dyDescent="0.25">
      <c r="B20" s="18" t="s">
        <v>24</v>
      </c>
      <c r="C20" s="30">
        <v>83008.58</v>
      </c>
      <c r="D20" s="30">
        <v>364515.99</v>
      </c>
      <c r="E20" s="30">
        <v>83008.58</v>
      </c>
      <c r="F20" s="30">
        <v>321574.18</v>
      </c>
      <c r="G20" s="22">
        <v>0</v>
      </c>
      <c r="H20" s="23">
        <v>166017.16</v>
      </c>
      <c r="I20" s="20">
        <v>266283.8</v>
      </c>
      <c r="J20" s="20">
        <f>116109.29+180044</f>
        <v>296153.28999999998</v>
      </c>
      <c r="K20" s="20">
        <v>58054.84</v>
      </c>
      <c r="L20" s="20">
        <v>61301.26</v>
      </c>
      <c r="M20" s="20">
        <v>140417.68</v>
      </c>
      <c r="N20" s="21">
        <f t="shared" si="2"/>
        <v>1840335.36</v>
      </c>
      <c r="P20" s="82"/>
    </row>
    <row r="21" spans="2:16" ht="18" customHeight="1" x14ac:dyDescent="0.25">
      <c r="B21" s="18" t="s">
        <v>25</v>
      </c>
      <c r="C21" s="19">
        <v>109759.39</v>
      </c>
      <c r="D21" s="19">
        <v>96835.39</v>
      </c>
      <c r="E21" s="19">
        <v>97179.91</v>
      </c>
      <c r="F21" s="19">
        <v>81533.600000000006</v>
      </c>
      <c r="G21" s="19">
        <v>106282.74</v>
      </c>
      <c r="H21" s="20">
        <v>108822.06</v>
      </c>
      <c r="I21" s="20">
        <v>362386.84</v>
      </c>
      <c r="J21" s="20">
        <v>211945.63</v>
      </c>
      <c r="K21" s="20">
        <v>5935.72</v>
      </c>
      <c r="L21" s="20">
        <v>467070.66</v>
      </c>
      <c r="M21" s="20">
        <v>196329.94</v>
      </c>
      <c r="N21" s="21">
        <f t="shared" si="2"/>
        <v>1844081.88</v>
      </c>
      <c r="O21" s="82"/>
    </row>
    <row r="22" spans="2:16" ht="30" x14ac:dyDescent="0.25">
      <c r="B22" s="18" t="s">
        <v>26</v>
      </c>
      <c r="C22" s="22">
        <v>0</v>
      </c>
      <c r="D22" s="30">
        <v>132411.68</v>
      </c>
      <c r="E22" s="30">
        <v>52959.28</v>
      </c>
      <c r="F22" s="30">
        <v>66007.58</v>
      </c>
      <c r="G22" s="30">
        <v>99412.88</v>
      </c>
      <c r="H22" s="21">
        <v>46584.28</v>
      </c>
      <c r="I22" s="20">
        <v>109824.42</v>
      </c>
      <c r="J22" s="20">
        <v>46584.28</v>
      </c>
      <c r="K22" s="20">
        <v>140984.28</v>
      </c>
      <c r="L22" s="20">
        <v>101510.36</v>
      </c>
      <c r="M22" s="20">
        <v>46584.17</v>
      </c>
      <c r="N22" s="21">
        <f t="shared" si="2"/>
        <v>842863.21</v>
      </c>
      <c r="O22" s="82"/>
    </row>
    <row r="23" spans="2:16" ht="18" customHeight="1" x14ac:dyDescent="0.25">
      <c r="B23" s="18" t="s">
        <v>27</v>
      </c>
      <c r="C23" s="30">
        <v>40000</v>
      </c>
      <c r="D23" s="30">
        <v>50000</v>
      </c>
      <c r="E23" s="30">
        <v>203341.34</v>
      </c>
      <c r="F23" s="30">
        <v>46728</v>
      </c>
      <c r="G23" s="30">
        <v>50567.34</v>
      </c>
      <c r="H23" s="21">
        <v>388769.18</v>
      </c>
      <c r="I23" s="20">
        <v>887354.65</v>
      </c>
      <c r="J23" s="20">
        <v>100000</v>
      </c>
      <c r="K23" s="20">
        <v>0</v>
      </c>
      <c r="L23" s="20">
        <f>167268.53+567120.8</f>
        <v>734389.33000000007</v>
      </c>
      <c r="M23" s="20">
        <f>62932.94+394640+511007.6</f>
        <v>968580.54</v>
      </c>
      <c r="N23" s="21">
        <f t="shared" si="2"/>
        <v>3469730.38</v>
      </c>
      <c r="O23" s="82"/>
      <c r="P23" s="69"/>
    </row>
    <row r="24" spans="2:16" ht="18" customHeight="1" x14ac:dyDescent="0.25">
      <c r="B24" s="18" t="s">
        <v>28</v>
      </c>
      <c r="C24" s="31">
        <v>0</v>
      </c>
      <c r="D24" s="30">
        <v>182481.1</v>
      </c>
      <c r="E24" s="32">
        <v>276371.3</v>
      </c>
      <c r="F24" s="32">
        <v>274397.2</v>
      </c>
      <c r="G24" s="32">
        <v>229030.96</v>
      </c>
      <c r="H24" s="33">
        <v>419574</v>
      </c>
      <c r="I24" s="20">
        <v>262719.3</v>
      </c>
      <c r="J24" s="20">
        <f>187431.2+81763.38</f>
        <v>269194.58</v>
      </c>
      <c r="K24" s="20">
        <f>258331.5+138886</f>
        <v>397217.5</v>
      </c>
      <c r="L24" s="20">
        <v>341844.59</v>
      </c>
      <c r="M24" s="20">
        <v>306682</v>
      </c>
      <c r="N24" s="21">
        <f t="shared" si="2"/>
        <v>2959512.5300000003</v>
      </c>
      <c r="O24" s="82"/>
    </row>
    <row r="25" spans="2:16" s="17" customFormat="1" ht="18" customHeight="1" x14ac:dyDescent="0.25">
      <c r="B25" s="26" t="s">
        <v>29</v>
      </c>
      <c r="C25" s="34">
        <f t="shared" ref="C25:M25" si="5">SUM(C26:C34)</f>
        <v>0</v>
      </c>
      <c r="D25" s="27">
        <f t="shared" si="5"/>
        <v>1220961.71</v>
      </c>
      <c r="E25" s="27">
        <f t="shared" si="5"/>
        <v>128279.01000000001</v>
      </c>
      <c r="F25" s="27">
        <f t="shared" si="5"/>
        <v>1204421.8700000001</v>
      </c>
      <c r="G25" s="27">
        <f t="shared" si="5"/>
        <v>122495.25</v>
      </c>
      <c r="H25" s="28">
        <f t="shared" si="5"/>
        <v>34445.31</v>
      </c>
      <c r="I25" s="28">
        <f t="shared" si="5"/>
        <v>1171488.6900000002</v>
      </c>
      <c r="J25" s="28">
        <f t="shared" si="5"/>
        <v>45686.39</v>
      </c>
      <c r="K25" s="28">
        <f t="shared" si="5"/>
        <v>697749.52</v>
      </c>
      <c r="L25" s="28">
        <f t="shared" si="5"/>
        <v>1356430.6400000001</v>
      </c>
      <c r="M25" s="28">
        <f t="shared" si="5"/>
        <v>54870</v>
      </c>
      <c r="N25" s="29">
        <f t="shared" si="2"/>
        <v>6036828.3900000006</v>
      </c>
      <c r="O25" s="81"/>
    </row>
    <row r="26" spans="2:16" ht="18" customHeight="1" x14ac:dyDescent="0.25">
      <c r="B26" s="18" t="s">
        <v>30</v>
      </c>
      <c r="C26" s="22">
        <v>0</v>
      </c>
      <c r="D26" s="30">
        <v>50375.28</v>
      </c>
      <c r="E26" s="30">
        <v>25414.33</v>
      </c>
      <c r="F26" s="22">
        <v>0</v>
      </c>
      <c r="G26" s="30">
        <v>93981.28</v>
      </c>
      <c r="H26" s="21">
        <v>17994</v>
      </c>
      <c r="I26" s="20">
        <f>22575.37+19889.95</f>
        <v>42465.32</v>
      </c>
      <c r="J26" s="20">
        <v>22338.43</v>
      </c>
      <c r="K26" s="20">
        <v>0</v>
      </c>
      <c r="L26" s="20">
        <f>22080.01+56834.91</f>
        <v>78914.92</v>
      </c>
      <c r="M26" s="20">
        <v>0</v>
      </c>
      <c r="N26" s="21">
        <f t="shared" si="2"/>
        <v>331483.56</v>
      </c>
      <c r="O26" s="82"/>
    </row>
    <row r="27" spans="2:16" ht="18" customHeight="1" x14ac:dyDescent="0.25">
      <c r="B27" s="18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640</v>
      </c>
      <c r="H27" s="23">
        <v>0</v>
      </c>
      <c r="I27" s="23">
        <v>0</v>
      </c>
      <c r="J27" s="23">
        <v>0</v>
      </c>
      <c r="K27" s="23">
        <v>684901.5</v>
      </c>
      <c r="L27" s="23">
        <v>0</v>
      </c>
      <c r="M27" s="23">
        <v>0</v>
      </c>
      <c r="N27" s="21">
        <f t="shared" si="2"/>
        <v>685541.5</v>
      </c>
      <c r="O27" s="82"/>
    </row>
    <row r="28" spans="2:16" ht="18" customHeight="1" x14ac:dyDescent="0.25">
      <c r="B28" s="18" t="s">
        <v>32</v>
      </c>
      <c r="C28" s="22">
        <v>0</v>
      </c>
      <c r="D28" s="30">
        <v>59911.95</v>
      </c>
      <c r="E28" s="30">
        <v>11800</v>
      </c>
      <c r="F28" s="30">
        <v>39787.24</v>
      </c>
      <c r="G28" s="30">
        <v>5800.05</v>
      </c>
      <c r="H28" s="21">
        <v>0</v>
      </c>
      <c r="I28" s="21">
        <v>16966.04</v>
      </c>
      <c r="J28" s="21">
        <v>10514.98</v>
      </c>
      <c r="K28" s="21">
        <v>4248</v>
      </c>
      <c r="L28" s="21">
        <v>35957.550000000003</v>
      </c>
      <c r="M28" s="21">
        <v>0</v>
      </c>
      <c r="N28" s="21">
        <f t="shared" si="2"/>
        <v>184985.81</v>
      </c>
      <c r="O28" s="82"/>
    </row>
    <row r="29" spans="2:16" ht="18" customHeight="1" x14ac:dyDescent="0.25">
      <c r="B29" s="18" t="s">
        <v>33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3">
        <v>0</v>
      </c>
      <c r="I29" s="23">
        <v>0</v>
      </c>
      <c r="J29" s="23">
        <v>9145.1299999999992</v>
      </c>
      <c r="K29" s="23">
        <v>0</v>
      </c>
      <c r="L29" s="23">
        <v>0</v>
      </c>
      <c r="M29" s="23">
        <v>0</v>
      </c>
      <c r="N29" s="21">
        <f t="shared" ref="N29" si="6">SUM(C29:M29)</f>
        <v>9145.1299999999992</v>
      </c>
      <c r="O29" s="82"/>
    </row>
    <row r="30" spans="2:16" ht="18" customHeight="1" x14ac:dyDescent="0.25">
      <c r="B30" s="18" t="s">
        <v>34</v>
      </c>
      <c r="C30" s="22">
        <v>0</v>
      </c>
      <c r="D30" s="22">
        <v>0</v>
      </c>
      <c r="E30" s="30">
        <v>51212</v>
      </c>
      <c r="F30" s="22">
        <v>0</v>
      </c>
      <c r="G30" s="22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1">
        <f t="shared" ref="N30:N61" si="7">SUM(C30:M30)</f>
        <v>51212</v>
      </c>
      <c r="O30" s="82"/>
    </row>
    <row r="31" spans="2:16" ht="18" customHeight="1" x14ac:dyDescent="0.25">
      <c r="B31" s="18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1">
        <f t="shared" si="7"/>
        <v>0</v>
      </c>
      <c r="O31" s="82"/>
    </row>
    <row r="32" spans="2:16" ht="18" customHeight="1" x14ac:dyDescent="0.25">
      <c r="B32" s="18" t="s">
        <v>36</v>
      </c>
      <c r="C32" s="22">
        <v>0</v>
      </c>
      <c r="D32" s="30">
        <v>1050000</v>
      </c>
      <c r="E32" s="22">
        <v>0</v>
      </c>
      <c r="F32" s="32">
        <v>1050000</v>
      </c>
      <c r="G32" s="32">
        <v>7830.48</v>
      </c>
      <c r="H32" s="33">
        <v>0</v>
      </c>
      <c r="I32" s="33">
        <v>1050000</v>
      </c>
      <c r="J32" s="33">
        <v>0</v>
      </c>
      <c r="K32" s="33">
        <v>0</v>
      </c>
      <c r="L32" s="33">
        <v>1059788.1000000001</v>
      </c>
      <c r="M32" s="33">
        <v>0</v>
      </c>
      <c r="N32" s="21">
        <f t="shared" si="7"/>
        <v>4217618.58</v>
      </c>
      <c r="O32" s="82"/>
    </row>
    <row r="33" spans="2:16" ht="18" customHeight="1" x14ac:dyDescent="0.25">
      <c r="B33" s="35" t="s">
        <v>37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3">
        <v>0</v>
      </c>
      <c r="I33" s="23"/>
      <c r="J33" s="23">
        <v>0</v>
      </c>
      <c r="K33" s="23">
        <v>0</v>
      </c>
      <c r="L33" s="23">
        <v>0</v>
      </c>
      <c r="M33" s="23">
        <v>0</v>
      </c>
      <c r="N33" s="21">
        <f t="shared" si="7"/>
        <v>0</v>
      </c>
      <c r="O33" s="82"/>
    </row>
    <row r="34" spans="2:16" ht="18" customHeight="1" x14ac:dyDescent="0.25">
      <c r="B34" s="18" t="s">
        <v>38</v>
      </c>
      <c r="C34" s="31">
        <v>0</v>
      </c>
      <c r="D34" s="30">
        <v>60674.48</v>
      </c>
      <c r="E34" s="30">
        <v>39852.68</v>
      </c>
      <c r="F34" s="32">
        <v>114634.63</v>
      </c>
      <c r="G34" s="32">
        <v>14243.44</v>
      </c>
      <c r="H34" s="33">
        <v>16451.310000000001</v>
      </c>
      <c r="I34" s="33">
        <f>60057.35+1999.98</f>
        <v>62057.33</v>
      </c>
      <c r="J34" s="33">
        <v>3687.85</v>
      </c>
      <c r="K34" s="33">
        <v>8600.02</v>
      </c>
      <c r="L34" s="33">
        <f>150412.52+30357.55+1000</f>
        <v>181770.06999999998</v>
      </c>
      <c r="M34" s="33">
        <f>6431+48439</f>
        <v>54870</v>
      </c>
      <c r="N34" s="21">
        <f t="shared" si="7"/>
        <v>556841.80999999994</v>
      </c>
      <c r="O34" s="82"/>
    </row>
    <row r="35" spans="2:16" s="17" customFormat="1" ht="18" customHeight="1" x14ac:dyDescent="0.25">
      <c r="B35" s="26" t="s">
        <v>39</v>
      </c>
      <c r="C35" s="34">
        <f t="shared" ref="C35:H35" si="8">SUM(C36:C44)</f>
        <v>0</v>
      </c>
      <c r="D35" s="27">
        <f t="shared" si="8"/>
        <v>68569.36</v>
      </c>
      <c r="E35" s="27">
        <f t="shared" si="8"/>
        <v>340007.45</v>
      </c>
      <c r="F35" s="27">
        <f t="shared" si="8"/>
        <v>43820.160000000003</v>
      </c>
      <c r="G35" s="34">
        <f t="shared" si="8"/>
        <v>0</v>
      </c>
      <c r="H35" s="36">
        <f t="shared" si="8"/>
        <v>0</v>
      </c>
      <c r="I35" s="36">
        <f t="shared" ref="I35:M35" si="9">SUM(I36:I44)</f>
        <v>0</v>
      </c>
      <c r="J35" s="36">
        <f t="shared" si="9"/>
        <v>34112.22</v>
      </c>
      <c r="K35" s="36">
        <f t="shared" si="9"/>
        <v>0</v>
      </c>
      <c r="L35" s="36">
        <f t="shared" si="9"/>
        <v>179143.05</v>
      </c>
      <c r="M35" s="36">
        <f t="shared" si="9"/>
        <v>0</v>
      </c>
      <c r="N35" s="29">
        <f t="shared" si="7"/>
        <v>665652.24</v>
      </c>
      <c r="O35" s="81"/>
      <c r="P35" s="69"/>
    </row>
    <row r="36" spans="2:16" ht="18" customHeight="1" x14ac:dyDescent="0.25">
      <c r="B36" s="18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f t="shared" si="7"/>
        <v>0</v>
      </c>
      <c r="O36" s="83"/>
    </row>
    <row r="37" spans="2:16" s="37" customFormat="1" ht="18" customHeight="1" x14ac:dyDescent="0.25">
      <c r="B37" s="18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f t="shared" si="7"/>
        <v>0</v>
      </c>
      <c r="O37" s="83"/>
    </row>
    <row r="38" spans="2:16" s="37" customFormat="1" ht="18" customHeight="1" x14ac:dyDescent="0.25">
      <c r="B38" s="18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f t="shared" si="7"/>
        <v>0</v>
      </c>
      <c r="O38" s="83"/>
    </row>
    <row r="39" spans="2:16" s="37" customFormat="1" ht="18" customHeight="1" x14ac:dyDescent="0.25">
      <c r="B39" s="18" t="s">
        <v>43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f t="shared" si="7"/>
        <v>0</v>
      </c>
      <c r="O39" s="83"/>
    </row>
    <row r="40" spans="2:16" s="37" customFormat="1" ht="18" customHeight="1" x14ac:dyDescent="0.25">
      <c r="B40" s="18" t="s">
        <v>44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f t="shared" si="7"/>
        <v>0</v>
      </c>
      <c r="O40" s="83"/>
    </row>
    <row r="41" spans="2:16" s="37" customFormat="1" ht="18" customHeight="1" x14ac:dyDescent="0.25">
      <c r="B41" s="35" t="s">
        <v>45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f t="shared" si="7"/>
        <v>0</v>
      </c>
      <c r="O41" s="83"/>
    </row>
    <row r="42" spans="2:16" ht="18" customHeight="1" x14ac:dyDescent="0.25">
      <c r="B42" s="35" t="s">
        <v>46</v>
      </c>
      <c r="C42" s="22">
        <v>0</v>
      </c>
      <c r="D42" s="23">
        <v>68569.36</v>
      </c>
      <c r="E42" s="23">
        <v>340007.45</v>
      </c>
      <c r="F42" s="23">
        <v>43820.160000000003</v>
      </c>
      <c r="G42" s="23">
        <v>0</v>
      </c>
      <c r="H42" s="23">
        <v>0</v>
      </c>
      <c r="I42" s="23">
        <v>0</v>
      </c>
      <c r="J42" s="23">
        <v>34112.22</v>
      </c>
      <c r="K42" s="23">
        <v>0</v>
      </c>
      <c r="L42" s="23">
        <f>165655.9+13487.15</f>
        <v>179143.05</v>
      </c>
      <c r="M42" s="23">
        <v>0</v>
      </c>
      <c r="N42" s="23">
        <f t="shared" si="7"/>
        <v>665652.24</v>
      </c>
      <c r="O42" s="83"/>
    </row>
    <row r="43" spans="2:16" ht="18" customHeight="1" x14ac:dyDescent="0.25">
      <c r="B43" s="18" t="s">
        <v>47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f t="shared" si="7"/>
        <v>0</v>
      </c>
      <c r="O43" s="83"/>
    </row>
    <row r="44" spans="2:16" ht="18" customHeight="1" x14ac:dyDescent="0.25">
      <c r="B44" s="18" t="s">
        <v>48</v>
      </c>
      <c r="C44" s="31">
        <v>0</v>
      </c>
      <c r="D44" s="31">
        <v>0</v>
      </c>
      <c r="E44" s="22">
        <v>0</v>
      </c>
      <c r="F44" s="22">
        <v>0</v>
      </c>
      <c r="G44" s="22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f t="shared" si="7"/>
        <v>0</v>
      </c>
      <c r="O44" s="83"/>
    </row>
    <row r="45" spans="2:16" ht="18" customHeight="1" x14ac:dyDescent="0.25">
      <c r="B45" s="26" t="s">
        <v>49</v>
      </c>
      <c r="C45" s="34">
        <f>SUM(C46:C52)</f>
        <v>0</v>
      </c>
      <c r="D45" s="34">
        <f t="shared" ref="D45:E45" si="10">SUM(D46:D52)</f>
        <v>0</v>
      </c>
      <c r="E45" s="34">
        <f t="shared" si="10"/>
        <v>0</v>
      </c>
      <c r="F45" s="34">
        <f>SUM(F46:F52)</f>
        <v>0</v>
      </c>
      <c r="G45" s="34">
        <f>SUM(G46:G52)</f>
        <v>0</v>
      </c>
      <c r="H45" s="36">
        <f>SUM(H46:H52)</f>
        <v>0</v>
      </c>
      <c r="I45" s="36">
        <f>SUM(I46:I52)</f>
        <v>0</v>
      </c>
      <c r="J45" s="36">
        <v>0</v>
      </c>
      <c r="K45" s="36">
        <v>0</v>
      </c>
      <c r="L45" s="36">
        <v>0</v>
      </c>
      <c r="M45" s="23">
        <v>0</v>
      </c>
      <c r="N45" s="36">
        <f t="shared" si="7"/>
        <v>0</v>
      </c>
      <c r="O45" s="84"/>
    </row>
    <row r="46" spans="2:16" ht="18" customHeight="1" x14ac:dyDescent="0.25">
      <c r="B46" s="38" t="s">
        <v>50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f t="shared" si="7"/>
        <v>0</v>
      </c>
      <c r="O46" s="83"/>
    </row>
    <row r="47" spans="2:16" ht="18" customHeight="1" x14ac:dyDescent="0.25">
      <c r="B47" s="18" t="s">
        <v>51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f t="shared" si="7"/>
        <v>0</v>
      </c>
      <c r="O47" s="83"/>
    </row>
    <row r="48" spans="2:16" ht="18" customHeight="1" x14ac:dyDescent="0.25">
      <c r="B48" s="18" t="s">
        <v>52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f t="shared" si="7"/>
        <v>0</v>
      </c>
      <c r="O48" s="83"/>
    </row>
    <row r="49" spans="2:17" ht="18" customHeight="1" x14ac:dyDescent="0.25">
      <c r="B49" s="18" t="s">
        <v>53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f t="shared" si="7"/>
        <v>0</v>
      </c>
      <c r="O49" s="83"/>
    </row>
    <row r="50" spans="2:17" ht="18" customHeight="1" x14ac:dyDescent="0.25">
      <c r="B50" s="18" t="s">
        <v>54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f t="shared" si="7"/>
        <v>0</v>
      </c>
      <c r="O50" s="83"/>
    </row>
    <row r="51" spans="2:17" ht="18" customHeight="1" x14ac:dyDescent="0.25">
      <c r="B51" s="18" t="s">
        <v>55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f t="shared" si="7"/>
        <v>0</v>
      </c>
      <c r="O51" s="83"/>
    </row>
    <row r="52" spans="2:17" ht="18" customHeight="1" x14ac:dyDescent="0.25">
      <c r="B52" s="39" t="s">
        <v>56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f t="shared" si="7"/>
        <v>0</v>
      </c>
      <c r="O52" s="83"/>
    </row>
    <row r="53" spans="2:17" s="17" customFormat="1" ht="21.75" customHeight="1" x14ac:dyDescent="0.25">
      <c r="B53" s="12" t="s">
        <v>57</v>
      </c>
      <c r="C53" s="42">
        <f t="shared" ref="C53:M53" si="11">SUM(C54:C64)</f>
        <v>0</v>
      </c>
      <c r="D53" s="42">
        <f t="shared" si="11"/>
        <v>0</v>
      </c>
      <c r="E53" s="43">
        <f t="shared" si="11"/>
        <v>96024.39</v>
      </c>
      <c r="F53" s="43">
        <f t="shared" si="11"/>
        <v>0</v>
      </c>
      <c r="G53" s="43">
        <f t="shared" si="11"/>
        <v>240300.98</v>
      </c>
      <c r="H53" s="43">
        <f t="shared" si="11"/>
        <v>0</v>
      </c>
      <c r="I53" s="43">
        <f t="shared" si="11"/>
        <v>6136</v>
      </c>
      <c r="J53" s="43">
        <f t="shared" si="11"/>
        <v>4071</v>
      </c>
      <c r="K53" s="43">
        <f t="shared" si="11"/>
        <v>168155.37</v>
      </c>
      <c r="L53" s="43">
        <f t="shared" si="11"/>
        <v>1969</v>
      </c>
      <c r="M53" s="43">
        <f t="shared" si="11"/>
        <v>3381179.6</v>
      </c>
      <c r="N53" s="15">
        <f t="shared" si="7"/>
        <v>3897836.34</v>
      </c>
      <c r="O53" s="81"/>
      <c r="P53"/>
      <c r="Q53"/>
    </row>
    <row r="54" spans="2:17" ht="18" customHeight="1" x14ac:dyDescent="0.25">
      <c r="B54" s="35" t="s">
        <v>58</v>
      </c>
      <c r="C54" s="22">
        <v>0</v>
      </c>
      <c r="D54" s="22">
        <v>0</v>
      </c>
      <c r="E54" s="23">
        <v>96024.39</v>
      </c>
      <c r="F54" s="22">
        <v>0</v>
      </c>
      <c r="G54" s="30">
        <v>200003.98</v>
      </c>
      <c r="H54" s="23">
        <v>0</v>
      </c>
      <c r="I54" s="23">
        <v>0</v>
      </c>
      <c r="J54" s="23">
        <v>4071</v>
      </c>
      <c r="K54" s="23">
        <v>168155.37</v>
      </c>
      <c r="L54" s="23">
        <v>1969</v>
      </c>
      <c r="M54" s="23">
        <v>0</v>
      </c>
      <c r="N54" s="21">
        <f t="shared" si="7"/>
        <v>470223.74</v>
      </c>
      <c r="O54" s="82"/>
    </row>
    <row r="55" spans="2:17" ht="18" customHeight="1" x14ac:dyDescent="0.25">
      <c r="B55" s="35" t="s">
        <v>59</v>
      </c>
      <c r="C55" s="22">
        <v>0</v>
      </c>
      <c r="D55" s="22">
        <v>0</v>
      </c>
      <c r="E55" s="22">
        <v>0</v>
      </c>
      <c r="F55" s="22">
        <v>0</v>
      </c>
      <c r="G55" s="30">
        <v>40297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1">
        <f t="shared" si="7"/>
        <v>40297</v>
      </c>
      <c r="O55" s="82"/>
    </row>
    <row r="56" spans="2:17" ht="18" customHeight="1" x14ac:dyDescent="0.25">
      <c r="B56" s="18" t="s">
        <v>60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1">
        <f t="shared" si="7"/>
        <v>0</v>
      </c>
      <c r="O56" s="82"/>
    </row>
    <row r="57" spans="2:17" ht="18" customHeight="1" x14ac:dyDescent="0.25">
      <c r="B57" s="18" t="s">
        <v>61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3381179.6</v>
      </c>
      <c r="N57" s="21">
        <f t="shared" si="7"/>
        <v>3381179.6</v>
      </c>
      <c r="O57" s="82"/>
    </row>
    <row r="58" spans="2:17" ht="18" customHeight="1" x14ac:dyDescent="0.25">
      <c r="B58" s="35" t="s">
        <v>62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1">
        <f t="shared" si="7"/>
        <v>0</v>
      </c>
      <c r="O58" s="82"/>
    </row>
    <row r="59" spans="2:17" ht="18" customHeight="1" x14ac:dyDescent="0.25">
      <c r="B59" s="35" t="s">
        <v>63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3">
        <v>0</v>
      </c>
      <c r="I59" s="23">
        <v>6136</v>
      </c>
      <c r="J59" s="23">
        <v>0</v>
      </c>
      <c r="K59" s="23">
        <v>0</v>
      </c>
      <c r="L59" s="23">
        <v>0</v>
      </c>
      <c r="M59" s="23">
        <v>0</v>
      </c>
      <c r="N59" s="21">
        <f t="shared" si="7"/>
        <v>6136</v>
      </c>
      <c r="O59" s="82"/>
    </row>
    <row r="60" spans="2:17" ht="18" customHeight="1" x14ac:dyDescent="0.25">
      <c r="B60" s="35" t="s">
        <v>64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1">
        <f t="shared" si="7"/>
        <v>0</v>
      </c>
      <c r="O60" s="82"/>
    </row>
    <row r="61" spans="2:17" ht="18" customHeight="1" x14ac:dyDescent="0.25">
      <c r="B61" s="35" t="s">
        <v>65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1">
        <f t="shared" si="7"/>
        <v>0</v>
      </c>
      <c r="O61" s="82"/>
    </row>
    <row r="62" spans="2:17" ht="18" customHeight="1" x14ac:dyDescent="0.25">
      <c r="B62" s="18" t="s">
        <v>66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1">
        <f t="shared" ref="N62:N93" si="12">SUM(C62:M62)</f>
        <v>0</v>
      </c>
      <c r="O62" s="82"/>
    </row>
    <row r="63" spans="2:17" ht="18" customHeight="1" x14ac:dyDescent="0.25">
      <c r="B63" s="35" t="s">
        <v>67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1">
        <f t="shared" si="12"/>
        <v>0</v>
      </c>
      <c r="O63" s="82"/>
    </row>
    <row r="64" spans="2:17" ht="18" customHeight="1" x14ac:dyDescent="0.25">
      <c r="B64" s="18" t="s">
        <v>68</v>
      </c>
      <c r="C64" s="31">
        <v>0</v>
      </c>
      <c r="D64" s="31">
        <v>0</v>
      </c>
      <c r="E64" s="22">
        <v>0</v>
      </c>
      <c r="F64" s="22">
        <v>0</v>
      </c>
      <c r="G64" s="22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1">
        <f t="shared" si="12"/>
        <v>0</v>
      </c>
      <c r="O64" s="82"/>
    </row>
    <row r="65" spans="2:15" ht="18" customHeight="1" x14ac:dyDescent="0.25">
      <c r="B65" s="26" t="s">
        <v>69</v>
      </c>
      <c r="C65" s="34">
        <f>SUM(C66:C69)</f>
        <v>0</v>
      </c>
      <c r="D65" s="34">
        <f>SUM(D66:D69)</f>
        <v>0</v>
      </c>
      <c r="E65" s="34">
        <v>0</v>
      </c>
      <c r="F65" s="34">
        <v>0</v>
      </c>
      <c r="G65" s="34">
        <f t="shared" ref="G65:M65" si="13">SUM(G66:G69)</f>
        <v>0</v>
      </c>
      <c r="H65" s="36">
        <f t="shared" si="13"/>
        <v>0</v>
      </c>
      <c r="I65" s="36">
        <f t="shared" si="13"/>
        <v>0</v>
      </c>
      <c r="J65" s="36">
        <f t="shared" si="13"/>
        <v>0</v>
      </c>
      <c r="K65" s="36">
        <f t="shared" si="13"/>
        <v>0</v>
      </c>
      <c r="L65" s="36">
        <f t="shared" si="13"/>
        <v>0</v>
      </c>
      <c r="M65" s="36">
        <f t="shared" si="13"/>
        <v>0</v>
      </c>
      <c r="N65" s="36">
        <f t="shared" si="12"/>
        <v>0</v>
      </c>
      <c r="O65" s="84"/>
    </row>
    <row r="66" spans="2:15" ht="18" customHeight="1" x14ac:dyDescent="0.25">
      <c r="B66" s="18" t="s">
        <v>70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1">
        <f t="shared" si="12"/>
        <v>0</v>
      </c>
      <c r="O66" s="82"/>
    </row>
    <row r="67" spans="2:15" ht="18" customHeight="1" x14ac:dyDescent="0.25">
      <c r="B67" s="35" t="s">
        <v>71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1">
        <f t="shared" si="12"/>
        <v>0</v>
      </c>
      <c r="O67" s="82"/>
    </row>
    <row r="68" spans="2:15" ht="18" customHeight="1" x14ac:dyDescent="0.25">
      <c r="B68" s="18" t="s">
        <v>72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1">
        <f t="shared" si="12"/>
        <v>0</v>
      </c>
      <c r="O68" s="82"/>
    </row>
    <row r="69" spans="2:15" ht="18" customHeight="1" x14ac:dyDescent="0.25">
      <c r="B69" s="18" t="s">
        <v>73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1">
        <f t="shared" si="12"/>
        <v>0</v>
      </c>
      <c r="O69" s="82"/>
    </row>
    <row r="70" spans="2:15" ht="18" customHeight="1" x14ac:dyDescent="0.25">
      <c r="B70" s="44" t="s">
        <v>74</v>
      </c>
      <c r="C70" s="45">
        <f>SUM(C71:C75)</f>
        <v>0</v>
      </c>
      <c r="D70" s="34">
        <f>SUM(D71:D75)</f>
        <v>0</v>
      </c>
      <c r="E70" s="34">
        <v>0</v>
      </c>
      <c r="F70" s="34">
        <v>0</v>
      </c>
      <c r="G70" s="34">
        <f t="shared" ref="G70:M70" si="14">SUM(G71:G75)</f>
        <v>0</v>
      </c>
      <c r="H70" s="36">
        <f t="shared" si="14"/>
        <v>0</v>
      </c>
      <c r="I70" s="36">
        <f t="shared" si="14"/>
        <v>0</v>
      </c>
      <c r="J70" s="36">
        <f t="shared" si="14"/>
        <v>0</v>
      </c>
      <c r="K70" s="36">
        <f t="shared" si="14"/>
        <v>0</v>
      </c>
      <c r="L70" s="36">
        <f t="shared" si="14"/>
        <v>0</v>
      </c>
      <c r="M70" s="36">
        <f t="shared" si="14"/>
        <v>0</v>
      </c>
      <c r="N70" s="36">
        <f t="shared" si="12"/>
        <v>0</v>
      </c>
      <c r="O70" s="84"/>
    </row>
    <row r="71" spans="2:15" ht="18" customHeight="1" x14ac:dyDescent="0.25">
      <c r="B71" s="18" t="s">
        <v>75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1">
        <f t="shared" si="12"/>
        <v>0</v>
      </c>
      <c r="O71" s="82"/>
    </row>
    <row r="72" spans="2:15" ht="18" customHeight="1" x14ac:dyDescent="0.25">
      <c r="B72" s="18" t="s">
        <v>76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1">
        <f t="shared" si="12"/>
        <v>0</v>
      </c>
      <c r="O72" s="82"/>
    </row>
    <row r="73" spans="2:15" ht="18" customHeight="1" x14ac:dyDescent="0.25">
      <c r="B73" s="18" t="s">
        <v>77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1">
        <f t="shared" si="12"/>
        <v>0</v>
      </c>
      <c r="O73" s="82"/>
    </row>
    <row r="74" spans="2:15" ht="18" customHeight="1" x14ac:dyDescent="0.25">
      <c r="B74" s="18" t="s">
        <v>78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1">
        <f t="shared" si="12"/>
        <v>0</v>
      </c>
      <c r="O74" s="82"/>
    </row>
    <row r="75" spans="2:15" ht="18" customHeight="1" x14ac:dyDescent="0.25">
      <c r="B75" s="18" t="s">
        <v>79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1">
        <f t="shared" si="12"/>
        <v>0</v>
      </c>
      <c r="O75" s="82"/>
    </row>
    <row r="76" spans="2:15" ht="18" customHeight="1" x14ac:dyDescent="0.25">
      <c r="B76" s="26" t="s">
        <v>80</v>
      </c>
      <c r="C76" s="34">
        <f>SUM(C77:C80)</f>
        <v>0</v>
      </c>
      <c r="D76" s="34">
        <f>SUM(D77:D80)</f>
        <v>0</v>
      </c>
      <c r="E76" s="34">
        <v>0</v>
      </c>
      <c r="F76" s="34">
        <v>0</v>
      </c>
      <c r="G76" s="34">
        <f t="shared" ref="G76:M76" si="15">SUM(G77:G80)</f>
        <v>0</v>
      </c>
      <c r="H76" s="36">
        <f t="shared" si="15"/>
        <v>0</v>
      </c>
      <c r="I76" s="36">
        <f t="shared" si="15"/>
        <v>0</v>
      </c>
      <c r="J76" s="36">
        <f t="shared" si="15"/>
        <v>0</v>
      </c>
      <c r="K76" s="36">
        <f t="shared" si="15"/>
        <v>0</v>
      </c>
      <c r="L76" s="36">
        <f t="shared" si="15"/>
        <v>0</v>
      </c>
      <c r="M76" s="36">
        <f t="shared" si="15"/>
        <v>0</v>
      </c>
      <c r="N76" s="36">
        <f t="shared" si="12"/>
        <v>0</v>
      </c>
      <c r="O76" s="84"/>
    </row>
    <row r="77" spans="2:15" ht="18" customHeight="1" x14ac:dyDescent="0.25">
      <c r="B77" s="18" t="s">
        <v>81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1">
        <f t="shared" si="12"/>
        <v>0</v>
      </c>
      <c r="O77" s="83"/>
    </row>
    <row r="78" spans="2:15" ht="18" customHeight="1" x14ac:dyDescent="0.25">
      <c r="B78" s="18" t="s">
        <v>82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1">
        <f t="shared" si="12"/>
        <v>0</v>
      </c>
      <c r="O78" s="83"/>
    </row>
    <row r="79" spans="2:15" ht="18" customHeight="1" x14ac:dyDescent="0.25">
      <c r="B79" s="18" t="s">
        <v>83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1">
        <f t="shared" si="12"/>
        <v>0</v>
      </c>
      <c r="O79" s="83"/>
    </row>
    <row r="80" spans="2:15" ht="18" customHeight="1" x14ac:dyDescent="0.25">
      <c r="B80" s="18" t="s">
        <v>84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1">
        <f t="shared" si="12"/>
        <v>0</v>
      </c>
      <c r="O80" s="83"/>
    </row>
    <row r="81" spans="2:16" ht="18" customHeight="1" x14ac:dyDescent="0.25">
      <c r="B81" s="46" t="s">
        <v>85</v>
      </c>
      <c r="C81" s="47">
        <f>C53+C35+C25+C15+C9</f>
        <v>4277859.6100000003</v>
      </c>
      <c r="D81" s="47">
        <f>D53+D35+D25+D15+D9</f>
        <v>6289109.7700000005</v>
      </c>
      <c r="E81" s="47">
        <f t="shared" ref="E81:M81" si="16">+E53+E35+E25+E15+E9</f>
        <v>5619597.3799999999</v>
      </c>
      <c r="F81" s="47">
        <f t="shared" si="16"/>
        <v>6655144.3500000006</v>
      </c>
      <c r="G81" s="47">
        <f t="shared" si="16"/>
        <v>7874605.6399999997</v>
      </c>
      <c r="H81" s="48">
        <f t="shared" si="16"/>
        <v>5154104.74</v>
      </c>
      <c r="I81" s="48">
        <f t="shared" si="16"/>
        <v>7865445.0200000005</v>
      </c>
      <c r="J81" s="48">
        <f t="shared" si="16"/>
        <v>5240554.38</v>
      </c>
      <c r="K81" s="48">
        <f t="shared" si="16"/>
        <v>5941141.7199999997</v>
      </c>
      <c r="L81" s="48">
        <f t="shared" si="16"/>
        <v>10746966.74</v>
      </c>
      <c r="M81" s="48">
        <f t="shared" si="16"/>
        <v>13284249.9</v>
      </c>
      <c r="N81" s="48">
        <f>N53+N35+N25+N15+N9+N65+N70+N76</f>
        <v>78948779.25</v>
      </c>
      <c r="O81" s="85"/>
    </row>
    <row r="82" spans="2:16" ht="18" customHeight="1" x14ac:dyDescent="0.25">
      <c r="B82" s="102" t="s">
        <v>86</v>
      </c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4"/>
      <c r="O82" s="86"/>
    </row>
    <row r="83" spans="2:16" s="17" customFormat="1" ht="6" customHeight="1" x14ac:dyDescent="0.25">
      <c r="B83" s="105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7"/>
      <c r="O83" s="86"/>
    </row>
    <row r="84" spans="2:16" s="17" customFormat="1" ht="18" customHeight="1" x14ac:dyDescent="0.25">
      <c r="B84" s="12" t="s">
        <v>87</v>
      </c>
      <c r="C84" s="49">
        <f>SUM(C85:C86)</f>
        <v>0</v>
      </c>
      <c r="D84" s="49">
        <f t="shared" ref="D84:M84" si="17">SUM(D85)</f>
        <v>0</v>
      </c>
      <c r="E84" s="49">
        <f t="shared" si="17"/>
        <v>0</v>
      </c>
      <c r="F84" s="49">
        <f t="shared" si="17"/>
        <v>0</v>
      </c>
      <c r="G84" s="49">
        <f t="shared" si="17"/>
        <v>0</v>
      </c>
      <c r="H84" s="50">
        <f t="shared" si="17"/>
        <v>0</v>
      </c>
      <c r="I84" s="50">
        <f t="shared" si="17"/>
        <v>0</v>
      </c>
      <c r="J84" s="75">
        <f t="shared" si="17"/>
        <v>0</v>
      </c>
      <c r="K84" s="75">
        <f t="shared" si="17"/>
        <v>0</v>
      </c>
      <c r="L84" s="75">
        <f t="shared" si="17"/>
        <v>0</v>
      </c>
      <c r="M84" s="50">
        <f t="shared" si="17"/>
        <v>0</v>
      </c>
      <c r="N84" s="75">
        <f t="shared" ref="N84:N91" si="18">SUM(C84:M84)</f>
        <v>0</v>
      </c>
      <c r="O84" s="87"/>
    </row>
    <row r="85" spans="2:16" ht="18" customHeight="1" x14ac:dyDescent="0.25">
      <c r="B85" s="35" t="s">
        <v>88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3">
        <v>0</v>
      </c>
      <c r="I85" s="65">
        <v>0</v>
      </c>
      <c r="J85" s="65">
        <v>0</v>
      </c>
      <c r="K85" s="53">
        <v>0</v>
      </c>
      <c r="L85" s="65">
        <v>0</v>
      </c>
      <c r="M85" s="53">
        <v>0</v>
      </c>
      <c r="N85" s="23">
        <f t="shared" si="18"/>
        <v>0</v>
      </c>
      <c r="O85" s="83"/>
    </row>
    <row r="86" spans="2:16" ht="18" customHeight="1" x14ac:dyDescent="0.25">
      <c r="B86" s="18" t="s">
        <v>89</v>
      </c>
      <c r="C86" s="54">
        <v>0</v>
      </c>
      <c r="D86" s="52">
        <v>0</v>
      </c>
      <c r="E86" s="52">
        <v>0</v>
      </c>
      <c r="F86" s="52">
        <v>0</v>
      </c>
      <c r="G86" s="52">
        <v>0</v>
      </c>
      <c r="H86" s="53">
        <v>0</v>
      </c>
      <c r="I86" s="65">
        <v>0</v>
      </c>
      <c r="J86" s="65">
        <v>0</v>
      </c>
      <c r="K86" s="65">
        <v>0</v>
      </c>
      <c r="L86" s="65">
        <v>0</v>
      </c>
      <c r="M86" s="3">
        <v>0</v>
      </c>
      <c r="N86" s="23">
        <f t="shared" si="18"/>
        <v>0</v>
      </c>
      <c r="O86" s="83"/>
    </row>
    <row r="87" spans="2:16" s="17" customFormat="1" ht="18" customHeight="1" x14ac:dyDescent="0.25">
      <c r="B87" s="26" t="s">
        <v>90</v>
      </c>
      <c r="C87" s="55">
        <f>SUM(C88:C89)</f>
        <v>0</v>
      </c>
      <c r="D87" s="55">
        <f t="shared" ref="D87:M87" si="19">SUM(D88)</f>
        <v>0</v>
      </c>
      <c r="E87" s="55">
        <f t="shared" si="19"/>
        <v>0</v>
      </c>
      <c r="F87" s="55">
        <f t="shared" si="19"/>
        <v>0</v>
      </c>
      <c r="G87" s="55">
        <f t="shared" si="19"/>
        <v>0</v>
      </c>
      <c r="H87" s="56">
        <f t="shared" si="19"/>
        <v>0</v>
      </c>
      <c r="I87" s="76">
        <f t="shared" si="19"/>
        <v>0</v>
      </c>
      <c r="J87" s="76">
        <f t="shared" si="19"/>
        <v>0</v>
      </c>
      <c r="K87" s="76">
        <f t="shared" si="19"/>
        <v>0</v>
      </c>
      <c r="L87" s="76">
        <f t="shared" si="19"/>
        <v>0</v>
      </c>
      <c r="M87" s="56">
        <f t="shared" si="19"/>
        <v>0</v>
      </c>
      <c r="N87" s="76">
        <f t="shared" si="18"/>
        <v>0</v>
      </c>
      <c r="O87" s="87"/>
    </row>
    <row r="88" spans="2:16" ht="18" customHeight="1" x14ac:dyDescent="0.25">
      <c r="B88" s="35" t="s">
        <v>91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3">
        <v>0</v>
      </c>
      <c r="I88" s="65">
        <v>0</v>
      </c>
      <c r="J88" s="65">
        <v>0</v>
      </c>
      <c r="K88" s="65">
        <v>0</v>
      </c>
      <c r="L88" s="65">
        <v>0</v>
      </c>
      <c r="M88" s="53">
        <v>0</v>
      </c>
      <c r="N88" s="23">
        <f t="shared" si="18"/>
        <v>0</v>
      </c>
      <c r="O88" s="83"/>
    </row>
    <row r="89" spans="2:16" ht="18" customHeight="1" x14ac:dyDescent="0.25">
      <c r="B89" s="35" t="s">
        <v>92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3">
        <v>0</v>
      </c>
      <c r="I89" s="65">
        <v>0</v>
      </c>
      <c r="J89" s="65">
        <v>0</v>
      </c>
      <c r="K89" s="65">
        <v>0</v>
      </c>
      <c r="L89" s="65">
        <v>0</v>
      </c>
      <c r="M89" s="3">
        <v>0</v>
      </c>
      <c r="N89" s="23">
        <f t="shared" si="18"/>
        <v>0</v>
      </c>
      <c r="O89" s="83"/>
    </row>
    <row r="90" spans="2:16" ht="18" customHeight="1" x14ac:dyDescent="0.25">
      <c r="B90" s="26" t="s">
        <v>93</v>
      </c>
      <c r="C90" s="55">
        <f t="shared" ref="C90:M90" si="20">SUM(C91)</f>
        <v>0</v>
      </c>
      <c r="D90" s="55">
        <f t="shared" si="20"/>
        <v>0</v>
      </c>
      <c r="E90" s="55">
        <f t="shared" si="20"/>
        <v>0</v>
      </c>
      <c r="F90" s="55">
        <f t="shared" si="20"/>
        <v>0</v>
      </c>
      <c r="G90" s="55">
        <f t="shared" si="20"/>
        <v>0</v>
      </c>
      <c r="H90" s="56">
        <f t="shared" si="20"/>
        <v>0</v>
      </c>
      <c r="I90" s="76">
        <f t="shared" si="20"/>
        <v>0</v>
      </c>
      <c r="J90" s="76">
        <f t="shared" si="20"/>
        <v>0</v>
      </c>
      <c r="K90" s="76">
        <f t="shared" si="20"/>
        <v>0</v>
      </c>
      <c r="L90" s="76">
        <f t="shared" si="20"/>
        <v>0</v>
      </c>
      <c r="M90" s="56">
        <f t="shared" si="20"/>
        <v>0</v>
      </c>
      <c r="N90" s="76">
        <f t="shared" si="18"/>
        <v>0</v>
      </c>
      <c r="O90" s="87"/>
    </row>
    <row r="91" spans="2:16" ht="18" customHeight="1" x14ac:dyDescent="0.25">
      <c r="B91" s="57" t="s">
        <v>94</v>
      </c>
      <c r="C91" s="58">
        <v>0</v>
      </c>
      <c r="D91" s="58">
        <v>0</v>
      </c>
      <c r="E91" s="58">
        <v>0</v>
      </c>
      <c r="F91" s="58">
        <v>0</v>
      </c>
      <c r="G91" s="58">
        <v>0</v>
      </c>
      <c r="H91" s="59">
        <v>0</v>
      </c>
      <c r="I91" s="59">
        <v>0</v>
      </c>
      <c r="J91" s="11">
        <v>0</v>
      </c>
      <c r="K91" s="59">
        <v>0</v>
      </c>
      <c r="L91" s="11">
        <v>0</v>
      </c>
      <c r="M91" s="59">
        <v>0</v>
      </c>
      <c r="N91" s="41">
        <f t="shared" si="18"/>
        <v>0</v>
      </c>
      <c r="O91" s="83"/>
    </row>
    <row r="92" spans="2:16" ht="18" customHeight="1" x14ac:dyDescent="0.25">
      <c r="B92" s="46" t="s">
        <v>95</v>
      </c>
      <c r="C92" s="60"/>
      <c r="D92" s="60"/>
      <c r="E92" s="60"/>
      <c r="F92" s="60"/>
      <c r="G92" s="60"/>
      <c r="H92" s="61"/>
      <c r="I92" s="61"/>
      <c r="J92" s="61"/>
      <c r="K92" s="61"/>
      <c r="L92" s="61"/>
      <c r="M92" s="61"/>
      <c r="N92" s="62"/>
      <c r="O92" s="88"/>
    </row>
    <row r="93" spans="2:16" ht="9" customHeight="1" x14ac:dyDescent="0.25">
      <c r="B93" s="63"/>
      <c r="C93" s="64"/>
      <c r="D93" s="64"/>
      <c r="E93" s="64"/>
      <c r="F93" s="64"/>
      <c r="G93" s="64"/>
      <c r="H93" s="53"/>
      <c r="I93" s="53"/>
      <c r="J93" s="53"/>
      <c r="K93" s="53"/>
      <c r="L93" s="53"/>
      <c r="M93" s="53"/>
      <c r="N93" s="65"/>
    </row>
    <row r="94" spans="2:16" ht="18" customHeight="1" x14ac:dyDescent="0.25">
      <c r="B94" s="66" t="s">
        <v>96</v>
      </c>
      <c r="C94" s="67">
        <f>C81+C92</f>
        <v>4277859.6100000003</v>
      </c>
      <c r="D94" s="67">
        <f>D81+D92</f>
        <v>6289109.7700000005</v>
      </c>
      <c r="E94" s="67">
        <f t="shared" ref="E94:M94" si="21">+E81</f>
        <v>5619597.3799999999</v>
      </c>
      <c r="F94" s="67">
        <f t="shared" si="21"/>
        <v>6655144.3500000006</v>
      </c>
      <c r="G94" s="67">
        <f t="shared" si="21"/>
        <v>7874605.6399999997</v>
      </c>
      <c r="H94" s="68">
        <f t="shared" si="21"/>
        <v>5154104.74</v>
      </c>
      <c r="I94" s="68">
        <f t="shared" si="21"/>
        <v>7865445.0200000005</v>
      </c>
      <c r="J94" s="68">
        <f t="shared" si="21"/>
        <v>5240554.38</v>
      </c>
      <c r="K94" s="68">
        <f t="shared" si="21"/>
        <v>5941141.7199999997</v>
      </c>
      <c r="L94" s="68">
        <f t="shared" si="21"/>
        <v>10746966.74</v>
      </c>
      <c r="M94" s="68">
        <f t="shared" si="21"/>
        <v>13284249.9</v>
      </c>
      <c r="N94" s="68">
        <f>+N81+N92</f>
        <v>78948779.25</v>
      </c>
      <c r="O94" s="89"/>
      <c r="P94" s="69"/>
    </row>
    <row r="95" spans="2:16" x14ac:dyDescent="0.25">
      <c r="B95" t="s">
        <v>97</v>
      </c>
      <c r="P95" s="25"/>
    </row>
    <row r="96" spans="2:16" x14ac:dyDescent="0.25">
      <c r="D96" s="69"/>
      <c r="E96" s="69"/>
      <c r="F96" s="69"/>
      <c r="G96" s="69"/>
      <c r="H96" s="70"/>
      <c r="I96" s="70"/>
      <c r="J96" s="70"/>
      <c r="K96" s="70"/>
      <c r="L96" s="70"/>
      <c r="M96" s="70"/>
      <c r="N96" s="70"/>
    </row>
    <row r="97" spans="2:26" x14ac:dyDescent="0.25">
      <c r="D97" s="71"/>
      <c r="E97" s="71"/>
      <c r="F97" s="71"/>
      <c r="G97" s="71"/>
      <c r="N97" s="90"/>
    </row>
    <row r="98" spans="2:26" x14ac:dyDescent="0.25">
      <c r="D98" s="71"/>
      <c r="E98" s="71"/>
      <c r="F98" s="71"/>
      <c r="G98" s="71"/>
      <c r="N98" s="94"/>
    </row>
    <row r="99" spans="2:26" x14ac:dyDescent="0.25">
      <c r="D99" s="71"/>
      <c r="E99" s="71"/>
      <c r="F99" s="71"/>
      <c r="G99" s="71"/>
    </row>
    <row r="100" spans="2:26" ht="22.5" customHeight="1" x14ac:dyDescent="0.25">
      <c r="D100" s="71"/>
      <c r="E100" s="71"/>
      <c r="F100" s="71"/>
      <c r="G100" s="71"/>
    </row>
    <row r="102" spans="2:26" x14ac:dyDescent="0.25">
      <c r="B102" s="1"/>
      <c r="C102" s="96" t="s">
        <v>106</v>
      </c>
      <c r="D102" s="96"/>
      <c r="G102" s="72"/>
      <c r="H102" s="96" t="s">
        <v>98</v>
      </c>
      <c r="I102" s="96"/>
      <c r="J102" s="72"/>
      <c r="K102" s="96"/>
      <c r="L102" s="96"/>
      <c r="M102" s="72"/>
      <c r="N102" s="95"/>
      <c r="O102" s="91"/>
    </row>
    <row r="103" spans="2:26" x14ac:dyDescent="0.25">
      <c r="B103" s="1"/>
      <c r="C103" s="97" t="s">
        <v>107</v>
      </c>
      <c r="D103" s="97"/>
      <c r="G103" s="1"/>
      <c r="H103" s="97" t="s">
        <v>99</v>
      </c>
      <c r="I103" s="97"/>
      <c r="J103" s="1"/>
      <c r="K103" s="97"/>
      <c r="L103" s="97"/>
      <c r="M103" s="1"/>
    </row>
    <row r="104" spans="2:26" x14ac:dyDescent="0.25">
      <c r="B104" s="1"/>
    </row>
    <row r="107" spans="2:26" ht="10.5" customHeight="1" x14ac:dyDescent="0.25"/>
    <row r="109" spans="2:26" x14ac:dyDescent="0.25">
      <c r="B109" s="96" t="s">
        <v>102</v>
      </c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2"/>
    </row>
    <row r="110" spans="2:26" x14ac:dyDescent="0.25">
      <c r="B110" s="98" t="s">
        <v>100</v>
      </c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3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3" spans="2:15" x14ac:dyDescent="0.25">
      <c r="B113" s="17"/>
      <c r="C113" s="72"/>
      <c r="D113" s="72"/>
      <c r="E113" s="72"/>
      <c r="F113" s="72"/>
      <c r="G113" s="72"/>
      <c r="H113" s="73"/>
      <c r="I113" s="73"/>
      <c r="J113" s="73"/>
      <c r="K113" s="73"/>
      <c r="L113" s="73"/>
      <c r="M113" s="73"/>
    </row>
    <row r="114" spans="2:15" x14ac:dyDescent="0.25">
      <c r="N114" s="51"/>
      <c r="O114" s="87"/>
    </row>
  </sheetData>
  <mergeCells count="14">
    <mergeCell ref="K102:L102"/>
    <mergeCell ref="K103:L103"/>
    <mergeCell ref="B109:N109"/>
    <mergeCell ref="B110:N110"/>
    <mergeCell ref="B1:N1"/>
    <mergeCell ref="B2:N2"/>
    <mergeCell ref="B3:N3"/>
    <mergeCell ref="B4:N4"/>
    <mergeCell ref="B5:C5"/>
    <mergeCell ref="B82:N83"/>
    <mergeCell ref="C102:D102"/>
    <mergeCell ref="C103:D103"/>
    <mergeCell ref="H102:I102"/>
    <mergeCell ref="H103:I103"/>
  </mergeCells>
  <printOptions horizontalCentered="1"/>
  <pageMargins left="0" right="0" top="0.59055118110236227" bottom="3.937007874015748E-2" header="0.31496062992125984" footer="0.23622047244094491"/>
  <pageSetup paperSize="5" scale="50" orientation="landscape" r:id="rId1"/>
  <rowBreaks count="1" manualBreakCount="1">
    <brk id="5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2023</vt:lpstr>
      <vt:lpstr>'Noviembre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Angel Alberto Sanchez Gonzalez</cp:lastModifiedBy>
  <cp:lastPrinted>2023-12-06T13:03:32Z</cp:lastPrinted>
  <dcterms:created xsi:type="dcterms:W3CDTF">2023-07-04T20:33:25Z</dcterms:created>
  <dcterms:modified xsi:type="dcterms:W3CDTF">2023-12-07T18:48:28Z</dcterms:modified>
</cp:coreProperties>
</file>