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CABREU\Desktop\ODAC\ODAC\ODAC\Mis Doc\CARPETAS\Estados Financieros\Balanzas 2026\5 Mayo\"/>
    </mc:Choice>
  </mc:AlternateContent>
  <xr:revisionPtr revIDLastSave="0" documentId="8_{E034FE65-0DA4-4646-9440-E238B570D0D2}" xr6:coauthVersionLast="47" xr6:coauthVersionMax="47" xr10:uidLastSave="{00000000-0000-0000-0000-000000000000}"/>
  <bookViews>
    <workbookView xWindow="-120" yWindow="-120" windowWidth="20730" windowHeight="11160" tabRatio="929" firstSheet="8" activeTab="15" xr2:uid="{00000000-000D-0000-FFFF-FFFF00000000}"/>
  </bookViews>
  <sheets>
    <sheet name="Ingresos" sheetId="125" r:id="rId1"/>
    <sheet name="ESTADO" sheetId="153" r:id="rId2"/>
    <sheet name="Mayo" sheetId="68" r:id="rId3"/>
    <sheet name="Balanza Con" sheetId="28" r:id="rId4"/>
    <sheet name="ED" sheetId="2" r:id="rId5"/>
    <sheet name="Pago Mayo" sheetId="392" r:id="rId6"/>
    <sheet name="Pago Mayo (2)" sheetId="395" r:id="rId7"/>
    <sheet name="Pago Abril" sheetId="385" r:id="rId8"/>
    <sheet name="CxC 05" sheetId="353" r:id="rId9"/>
    <sheet name="Inventario " sheetId="35" r:id="rId10"/>
    <sheet name="Gastos pag. x ant." sheetId="18" r:id="rId11"/>
    <sheet name="SEGURO" sheetId="9" r:id="rId12"/>
    <sheet name="Fianzas y Depositos" sheetId="17" r:id="rId13"/>
    <sheet name="CXP 5" sheetId="393" r:id="rId14"/>
    <sheet name="CXP 4" sheetId="386" r:id="rId15"/>
    <sheet name="CP Mayo" sheetId="394" r:id="rId16"/>
    <sheet name="CP Abril" sheetId="388" r:id="rId17"/>
    <sheet name="Caja Chica DE" sheetId="396" r:id="rId18"/>
    <sheet name="Caja Chica Adm" sheetId="397" r:id="rId19"/>
    <sheet name="Hoja3 (2)" sheetId="384" r:id="rId20"/>
  </sheets>
  <externalReferences>
    <externalReference r:id="rId21"/>
    <externalReference r:id="rId22"/>
  </externalReferences>
  <definedNames>
    <definedName name="_xlnm._FilterDatabase" localSheetId="18" hidden="1">'Caja Chica Adm'!$B$6:$H$18</definedName>
    <definedName name="Actividad_Económica" localSheetId="3">#REF!</definedName>
    <definedName name="Actividad_Económica" localSheetId="16">#REF!</definedName>
    <definedName name="Actividad_Económica" localSheetId="15">#REF!</definedName>
    <definedName name="Actividad_Económica" localSheetId="8">#REF!</definedName>
    <definedName name="Actividad_Económica" localSheetId="14">#REF!</definedName>
    <definedName name="Actividad_Económica" localSheetId="13">#REF!</definedName>
    <definedName name="Actividad_Económica" localSheetId="1">#REF!</definedName>
    <definedName name="Actividad_Económica" localSheetId="10">#REF!</definedName>
    <definedName name="Actividad_Económica" localSheetId="0">#REF!</definedName>
    <definedName name="Actividad_Económica" localSheetId="7">#REF!</definedName>
    <definedName name="Actividad_Económica" localSheetId="5">#REF!</definedName>
    <definedName name="Actividad_Económica" localSheetId="6">#REF!</definedName>
    <definedName name="Actividad_Económica">#REF!</definedName>
    <definedName name="Actividad_Economica2" localSheetId="3">#REF!</definedName>
    <definedName name="Actividad_Economica2" localSheetId="16">#REF!</definedName>
    <definedName name="Actividad_Economica2" localSheetId="15">#REF!</definedName>
    <definedName name="Actividad_Economica2" localSheetId="8">#REF!</definedName>
    <definedName name="Actividad_Economica2" localSheetId="14">#REF!</definedName>
    <definedName name="Actividad_Economica2" localSheetId="13">#REF!</definedName>
    <definedName name="Actividad_Economica2" localSheetId="1">#REF!</definedName>
    <definedName name="Actividad_Economica2" localSheetId="10">#REF!</definedName>
    <definedName name="Actividad_Economica2" localSheetId="0">#REF!</definedName>
    <definedName name="Actividad_Economica2" localSheetId="7">#REF!</definedName>
    <definedName name="Actividad_Economica2" localSheetId="5">#REF!</definedName>
    <definedName name="Actividad_Economica2" localSheetId="6">#REF!</definedName>
    <definedName name="Actividad_Economica2">#REF!</definedName>
    <definedName name="AGENCIA" localSheetId="3">#REF!</definedName>
    <definedName name="AGENCIA" localSheetId="16">#REF!</definedName>
    <definedName name="AGENCIA" localSheetId="15">#REF!</definedName>
    <definedName name="AGENCIA" localSheetId="8">#REF!</definedName>
    <definedName name="AGENCIA" localSheetId="14">#REF!</definedName>
    <definedName name="AGENCIA" localSheetId="13">#REF!</definedName>
    <definedName name="AGENCIA" localSheetId="1">#REF!</definedName>
    <definedName name="AGENCIA" localSheetId="10">#REF!</definedName>
    <definedName name="AGENCIA" localSheetId="0">#REF!</definedName>
    <definedName name="AGENCIA" localSheetId="7">#REF!</definedName>
    <definedName name="AGENCIA" localSheetId="5">#REF!</definedName>
    <definedName name="AGENCIA" localSheetId="6">#REF!</definedName>
    <definedName name="AGENCIA">#REF!</definedName>
    <definedName name="Agencia2" localSheetId="3">#REF!</definedName>
    <definedName name="Agencia2" localSheetId="16">#REF!</definedName>
    <definedName name="Agencia2" localSheetId="15">#REF!</definedName>
    <definedName name="Agencia2" localSheetId="8">#REF!</definedName>
    <definedName name="Agencia2" localSheetId="14">#REF!</definedName>
    <definedName name="Agencia2" localSheetId="13">#REF!</definedName>
    <definedName name="Agencia2" localSheetId="1">#REF!</definedName>
    <definedName name="Agencia2" localSheetId="10">#REF!</definedName>
    <definedName name="Agencia2" localSheetId="0">#REF!</definedName>
    <definedName name="Agencia2" localSheetId="7">#REF!</definedName>
    <definedName name="Agencia2" localSheetId="5">#REF!</definedName>
    <definedName name="Agencia2" localSheetId="6">#REF!</definedName>
    <definedName name="Agencia2">#REF!</definedName>
    <definedName name="Apto" localSheetId="3">#REF!</definedName>
    <definedName name="Apto" localSheetId="16">#REF!</definedName>
    <definedName name="Apto" localSheetId="15">#REF!</definedName>
    <definedName name="Apto" localSheetId="8">#REF!</definedName>
    <definedName name="Apto" localSheetId="14">#REF!</definedName>
    <definedName name="Apto" localSheetId="13">#REF!</definedName>
    <definedName name="Apto" localSheetId="1">#REF!</definedName>
    <definedName name="Apto" localSheetId="10">#REF!</definedName>
    <definedName name="Apto" localSheetId="0">#REF!</definedName>
    <definedName name="Apto" localSheetId="7">#REF!</definedName>
    <definedName name="Apto" localSheetId="5">#REF!</definedName>
    <definedName name="Apto" localSheetId="6">#REF!</definedName>
    <definedName name="Apto">#REF!</definedName>
    <definedName name="Apto_Postal" localSheetId="3">#REF!</definedName>
    <definedName name="Apto_Postal" localSheetId="16">#REF!</definedName>
    <definedName name="Apto_Postal" localSheetId="15">#REF!</definedName>
    <definedName name="Apto_Postal" localSheetId="8">#REF!</definedName>
    <definedName name="Apto_Postal" localSheetId="14">#REF!</definedName>
    <definedName name="Apto_Postal" localSheetId="13">#REF!</definedName>
    <definedName name="Apto_Postal" localSheetId="1">#REF!</definedName>
    <definedName name="Apto_Postal" localSheetId="10">#REF!</definedName>
    <definedName name="Apto_Postal" localSheetId="0">#REF!</definedName>
    <definedName name="Apto_Postal" localSheetId="7">#REF!</definedName>
    <definedName name="Apto_Postal" localSheetId="5">#REF!</definedName>
    <definedName name="Apto_Postal" localSheetId="6">#REF!</definedName>
    <definedName name="Apto_Postal">#REF!</definedName>
    <definedName name="Apto_postal2" localSheetId="3">#REF!</definedName>
    <definedName name="Apto_postal2" localSheetId="16">#REF!</definedName>
    <definedName name="Apto_postal2" localSheetId="15">#REF!</definedName>
    <definedName name="Apto_postal2" localSheetId="8">#REF!</definedName>
    <definedName name="Apto_postal2" localSheetId="14">#REF!</definedName>
    <definedName name="Apto_postal2" localSheetId="13">#REF!</definedName>
    <definedName name="Apto_postal2" localSheetId="1">#REF!</definedName>
    <definedName name="Apto_postal2" localSheetId="10">#REF!</definedName>
    <definedName name="Apto_postal2" localSheetId="0">#REF!</definedName>
    <definedName name="Apto_postal2" localSheetId="7">#REF!</definedName>
    <definedName name="Apto_postal2" localSheetId="5">#REF!</definedName>
    <definedName name="Apto_postal2" localSheetId="6">#REF!</definedName>
    <definedName name="Apto_postal2">#REF!</definedName>
    <definedName name="Apto2" localSheetId="3">#REF!</definedName>
    <definedName name="Apto2" localSheetId="16">#REF!</definedName>
    <definedName name="Apto2" localSheetId="15">#REF!</definedName>
    <definedName name="Apto2" localSheetId="8">#REF!</definedName>
    <definedName name="Apto2" localSheetId="14">#REF!</definedName>
    <definedName name="Apto2" localSheetId="13">#REF!</definedName>
    <definedName name="Apto2" localSheetId="1">#REF!</definedName>
    <definedName name="Apto2" localSheetId="10">#REF!</definedName>
    <definedName name="Apto2" localSheetId="0">#REF!</definedName>
    <definedName name="Apto2" localSheetId="7">#REF!</definedName>
    <definedName name="Apto2" localSheetId="5">#REF!</definedName>
    <definedName name="Apto2" localSheetId="6">#REF!</definedName>
    <definedName name="Apto2">#REF!</definedName>
    <definedName name="_xlnm.Print_Area" localSheetId="3">'Balanza Con'!$B$1:$H$161</definedName>
    <definedName name="_xlnm.Print_Area" localSheetId="16">'CP Abril'!$A$1:$J$28</definedName>
    <definedName name="_xlnm.Print_Area" localSheetId="15">'CP Mayo'!$A$1:$J$33</definedName>
    <definedName name="_xlnm.Print_Area" localSheetId="8">'CxC 05'!$A$1:$J$20</definedName>
    <definedName name="_xlnm.Print_Area" localSheetId="4">ED!$A$1:$L$463</definedName>
    <definedName name="_xlnm.Print_Area" localSheetId="0">Ingresos!$A$1:$M$25</definedName>
    <definedName name="_xlnm.Print_Area" localSheetId="2">Mayo!$A$1:$G$28</definedName>
    <definedName name="_xlnm.Print_Area" localSheetId="7">'Pago Abril'!$A$1:$Q$51</definedName>
    <definedName name="_xlnm.Print_Area" localSheetId="5">'Pago Mayo'!$A$1:$Q$70</definedName>
    <definedName name="_xlnm.Print_Area" localSheetId="6">'Pago Mayo (2)'!$A$1:$Q$71</definedName>
    <definedName name="DATOS" localSheetId="3">#REF!,#REF!,#REF!,#REF!,#REF!,#REF!,#REF!,#REF!,#REF!,#REF!,#REF!,#REF!,#REF!,#REF!,#REF!,#REF!,#REF!,#REF!</definedName>
    <definedName name="DATOS" localSheetId="16">#REF!,#REF!,#REF!,#REF!,#REF!,#REF!,#REF!,#REF!,#REF!,#REF!,#REF!,#REF!,#REF!,#REF!,#REF!,#REF!,#REF!,#REF!</definedName>
    <definedName name="DATOS" localSheetId="15">#REF!,#REF!,#REF!,#REF!,#REF!,#REF!,#REF!,#REF!,#REF!,#REF!,#REF!,#REF!,#REF!,#REF!,#REF!,#REF!,#REF!,#REF!</definedName>
    <definedName name="DATOS" localSheetId="8">#REF!,#REF!,#REF!,#REF!,#REF!,#REF!,#REF!,#REF!,#REF!,#REF!,#REF!,#REF!,#REF!,#REF!,#REF!,#REF!,#REF!,#REF!</definedName>
    <definedName name="DATOS" localSheetId="14">#REF!,#REF!,#REF!,#REF!,#REF!,#REF!,#REF!,#REF!,#REF!,#REF!,#REF!,#REF!,#REF!,#REF!,#REF!,#REF!,#REF!,#REF!</definedName>
    <definedName name="DATOS" localSheetId="13">#REF!,#REF!,#REF!,#REF!,#REF!,#REF!,#REF!,#REF!,#REF!,#REF!,#REF!,#REF!,#REF!,#REF!,#REF!,#REF!,#REF!,#REF!</definedName>
    <definedName name="DATOS" localSheetId="1">#REF!,#REF!,#REF!,#REF!,#REF!,#REF!,#REF!,#REF!,#REF!,#REF!,#REF!,#REF!,#REF!,#REF!,#REF!,#REF!,#REF!,#REF!</definedName>
    <definedName name="DATOS" localSheetId="10">#REF!,#REF!,#REF!,#REF!,#REF!,#REF!,#REF!,#REF!,#REF!,#REF!,#REF!,#REF!,#REF!,#REF!,#REF!,#REF!,#REF!,#REF!</definedName>
    <definedName name="DATOS" localSheetId="0">#REF!,#REF!,#REF!,#REF!,#REF!,#REF!,#REF!,#REF!,#REF!,#REF!,#REF!,#REF!,#REF!,#REF!,#REF!,#REF!,#REF!,#REF!</definedName>
    <definedName name="DATOS" localSheetId="7">#REF!,#REF!,#REF!,#REF!,#REF!,#REF!,#REF!,#REF!,#REF!,#REF!,#REF!,#REF!,#REF!,#REF!,#REF!,#REF!,#REF!,#REF!</definedName>
    <definedName name="DATOS" localSheetId="5">#REF!,#REF!,#REF!,#REF!,#REF!,#REF!,#REF!,#REF!,#REF!,#REF!,#REF!,#REF!,#REF!,#REF!,#REF!,#REF!,#REF!,#REF!</definedName>
    <definedName name="DATOS" localSheetId="6">#REF!,#REF!,#REF!,#REF!,#REF!,#REF!,#REF!,#REF!,#REF!,#REF!,#REF!,#REF!,#REF!,#REF!,#REF!,#REF!,#REF!,#REF!</definedName>
    <definedName name="DATOS">#REF!,#REF!,#REF!,#REF!,#REF!,#REF!,#REF!,#REF!,#REF!,#REF!,#REF!,#REF!,#REF!,#REF!,#REF!,#REF!,#REF!,#REF!</definedName>
    <definedName name="DATOS2" localSheetId="3">#REF!,#REF!,#REF!,#REF!,#REF!,#REF!,#REF!,#REF!,#REF!,#REF!,#REF!,#REF!,#REF!,#REF!,#REF!,#REF!,#REF!,#REF!</definedName>
    <definedName name="DATOS2" localSheetId="16">#REF!,#REF!,#REF!,#REF!,#REF!,#REF!,#REF!,#REF!,#REF!,#REF!,#REF!,#REF!,#REF!,#REF!,#REF!,#REF!,#REF!,#REF!</definedName>
    <definedName name="DATOS2" localSheetId="15">#REF!,#REF!,#REF!,#REF!,#REF!,#REF!,#REF!,#REF!,#REF!,#REF!,#REF!,#REF!,#REF!,#REF!,#REF!,#REF!,#REF!,#REF!</definedName>
    <definedName name="DATOS2" localSheetId="8">#REF!,#REF!,#REF!,#REF!,#REF!,#REF!,#REF!,#REF!,#REF!,#REF!,#REF!,#REF!,#REF!,#REF!,#REF!,#REF!,#REF!,#REF!</definedName>
    <definedName name="DATOS2" localSheetId="14">#REF!,#REF!,#REF!,#REF!,#REF!,#REF!,#REF!,#REF!,#REF!,#REF!,#REF!,#REF!,#REF!,#REF!,#REF!,#REF!,#REF!,#REF!</definedName>
    <definedName name="DATOS2" localSheetId="13">#REF!,#REF!,#REF!,#REF!,#REF!,#REF!,#REF!,#REF!,#REF!,#REF!,#REF!,#REF!,#REF!,#REF!,#REF!,#REF!,#REF!,#REF!</definedName>
    <definedName name="DATOS2" localSheetId="1">#REF!,#REF!,#REF!,#REF!,#REF!,#REF!,#REF!,#REF!,#REF!,#REF!,#REF!,#REF!,#REF!,#REF!,#REF!,#REF!,#REF!,#REF!</definedName>
    <definedName name="DATOS2" localSheetId="10">#REF!,#REF!,#REF!,#REF!,#REF!,#REF!,#REF!,#REF!,#REF!,#REF!,#REF!,#REF!,#REF!,#REF!,#REF!,#REF!,#REF!,#REF!</definedName>
    <definedName name="DATOS2" localSheetId="0">#REF!,#REF!,#REF!,#REF!,#REF!,#REF!,#REF!,#REF!,#REF!,#REF!,#REF!,#REF!,#REF!,#REF!,#REF!,#REF!,#REF!,#REF!</definedName>
    <definedName name="DATOS2" localSheetId="7">#REF!,#REF!,#REF!,#REF!,#REF!,#REF!,#REF!,#REF!,#REF!,#REF!,#REF!,#REF!,#REF!,#REF!,#REF!,#REF!,#REF!,#REF!</definedName>
    <definedName name="DATOS2" localSheetId="5">#REF!,#REF!,#REF!,#REF!,#REF!,#REF!,#REF!,#REF!,#REF!,#REF!,#REF!,#REF!,#REF!,#REF!,#REF!,#REF!,#REF!,#REF!</definedName>
    <definedName name="DATOS2" localSheetId="6">#REF!,#REF!,#REF!,#REF!,#REF!,#REF!,#REF!,#REF!,#REF!,#REF!,#REF!,#REF!,#REF!,#REF!,#REF!,#REF!,#REF!,#REF!</definedName>
    <definedName name="DATOS2">#REF!,#REF!,#REF!,#REF!,#REF!,#REF!,#REF!,#REF!,#REF!,#REF!,#REF!,#REF!,#REF!,#REF!,#REF!,#REF!,#REF!,#REF!</definedName>
    <definedName name="datos3" localSheetId="3">#REF!,#REF!,#REF!,#REF!,#REF!,#REF!,#REF!,#REF!,#REF!,#REF!,#REF!,#REF!,#REF!,#REF!,#REF!,#REF!,#REF!,#REF!</definedName>
    <definedName name="datos3" localSheetId="16">#REF!,#REF!,#REF!,#REF!,#REF!,#REF!,#REF!,#REF!,#REF!,#REF!,#REF!,#REF!,#REF!,#REF!,#REF!,#REF!,#REF!,#REF!</definedName>
    <definedName name="datos3" localSheetId="15">#REF!,#REF!,#REF!,#REF!,#REF!,#REF!,#REF!,#REF!,#REF!,#REF!,#REF!,#REF!,#REF!,#REF!,#REF!,#REF!,#REF!,#REF!</definedName>
    <definedName name="datos3" localSheetId="8">#REF!,#REF!,#REF!,#REF!,#REF!,#REF!,#REF!,#REF!,#REF!,#REF!,#REF!,#REF!,#REF!,#REF!,#REF!,#REF!,#REF!,#REF!</definedName>
    <definedName name="datos3" localSheetId="14">#REF!,#REF!,#REF!,#REF!,#REF!,#REF!,#REF!,#REF!,#REF!,#REF!,#REF!,#REF!,#REF!,#REF!,#REF!,#REF!,#REF!,#REF!</definedName>
    <definedName name="datos3" localSheetId="13">#REF!,#REF!,#REF!,#REF!,#REF!,#REF!,#REF!,#REF!,#REF!,#REF!,#REF!,#REF!,#REF!,#REF!,#REF!,#REF!,#REF!,#REF!</definedName>
    <definedName name="datos3" localSheetId="1">#REF!,#REF!,#REF!,#REF!,#REF!,#REF!,#REF!,#REF!,#REF!,#REF!,#REF!,#REF!,#REF!,#REF!,#REF!,#REF!,#REF!,#REF!</definedName>
    <definedName name="datos3" localSheetId="10">#REF!,#REF!,#REF!,#REF!,#REF!,#REF!,#REF!,#REF!,#REF!,#REF!,#REF!,#REF!,#REF!,#REF!,#REF!,#REF!,#REF!,#REF!</definedName>
    <definedName name="datos3" localSheetId="0">#REF!,#REF!,#REF!,#REF!,#REF!,#REF!,#REF!,#REF!,#REF!,#REF!,#REF!,#REF!,#REF!,#REF!,#REF!,#REF!,#REF!,#REF!</definedName>
    <definedName name="datos3" localSheetId="7">#REF!,#REF!,#REF!,#REF!,#REF!,#REF!,#REF!,#REF!,#REF!,#REF!,#REF!,#REF!,#REF!,#REF!,#REF!,#REF!,#REF!,#REF!</definedName>
    <definedName name="datos3" localSheetId="5">#REF!,#REF!,#REF!,#REF!,#REF!,#REF!,#REF!,#REF!,#REF!,#REF!,#REF!,#REF!,#REF!,#REF!,#REF!,#REF!,#REF!,#REF!</definedName>
    <definedName name="datos3" localSheetId="6">#REF!,#REF!,#REF!,#REF!,#REF!,#REF!,#REF!,#REF!,#REF!,#REF!,#REF!,#REF!,#REF!,#REF!,#REF!,#REF!,#REF!,#REF!</definedName>
    <definedName name="datos3">#REF!,#REF!,#REF!,#REF!,#REF!,#REF!,#REF!,#REF!,#REF!,#REF!,#REF!,#REF!,#REF!,#REF!,#REF!,#REF!,#REF!,#REF!</definedName>
    <definedName name="datos4" localSheetId="3">#REF!,#REF!,#REF!,#REF!,#REF!,#REF!,#REF!,#REF!,#REF!,#REF!,#REF!,#REF!,#REF!,#REF!,#REF!,#REF!,#REF!,#REF!</definedName>
    <definedName name="datos4" localSheetId="16">#REF!,#REF!,#REF!,#REF!,#REF!,#REF!,#REF!,#REF!,#REF!,#REF!,#REF!,#REF!,#REF!,#REF!,#REF!,#REF!,#REF!,#REF!</definedName>
    <definedName name="datos4" localSheetId="15">#REF!,#REF!,#REF!,#REF!,#REF!,#REF!,#REF!,#REF!,#REF!,#REF!,#REF!,#REF!,#REF!,#REF!,#REF!,#REF!,#REF!,#REF!</definedName>
    <definedName name="datos4" localSheetId="8">#REF!,#REF!,#REF!,#REF!,#REF!,#REF!,#REF!,#REF!,#REF!,#REF!,#REF!,#REF!,#REF!,#REF!,#REF!,#REF!,#REF!,#REF!</definedName>
    <definedName name="datos4" localSheetId="14">#REF!,#REF!,#REF!,#REF!,#REF!,#REF!,#REF!,#REF!,#REF!,#REF!,#REF!,#REF!,#REF!,#REF!,#REF!,#REF!,#REF!,#REF!</definedName>
    <definedName name="datos4" localSheetId="13">#REF!,#REF!,#REF!,#REF!,#REF!,#REF!,#REF!,#REF!,#REF!,#REF!,#REF!,#REF!,#REF!,#REF!,#REF!,#REF!,#REF!,#REF!</definedName>
    <definedName name="datos4" localSheetId="1">#REF!,#REF!,#REF!,#REF!,#REF!,#REF!,#REF!,#REF!,#REF!,#REF!,#REF!,#REF!,#REF!,#REF!,#REF!,#REF!,#REF!,#REF!</definedName>
    <definedName name="datos4" localSheetId="10">#REF!,#REF!,#REF!,#REF!,#REF!,#REF!,#REF!,#REF!,#REF!,#REF!,#REF!,#REF!,#REF!,#REF!,#REF!,#REF!,#REF!,#REF!</definedName>
    <definedName name="datos4" localSheetId="0">#REF!,#REF!,#REF!,#REF!,#REF!,#REF!,#REF!,#REF!,#REF!,#REF!,#REF!,#REF!,#REF!,#REF!,#REF!,#REF!,#REF!,#REF!</definedName>
    <definedName name="datos4" localSheetId="7">#REF!,#REF!,#REF!,#REF!,#REF!,#REF!,#REF!,#REF!,#REF!,#REF!,#REF!,#REF!,#REF!,#REF!,#REF!,#REF!,#REF!,#REF!</definedName>
    <definedName name="datos4" localSheetId="5">#REF!,#REF!,#REF!,#REF!,#REF!,#REF!,#REF!,#REF!,#REF!,#REF!,#REF!,#REF!,#REF!,#REF!,#REF!,#REF!,#REF!,#REF!</definedName>
    <definedName name="datos4" localSheetId="6">#REF!,#REF!,#REF!,#REF!,#REF!,#REF!,#REF!,#REF!,#REF!,#REF!,#REF!,#REF!,#REF!,#REF!,#REF!,#REF!,#REF!,#REF!</definedName>
    <definedName name="datos4">#REF!,#REF!,#REF!,#REF!,#REF!,#REF!,#REF!,#REF!,#REF!,#REF!,#REF!,#REF!,#REF!,#REF!,#REF!,#REF!,#REF!,#REF!</definedName>
    <definedName name="DEPRECIACION" localSheetId="3">#REF!</definedName>
    <definedName name="DEPRECIACION" localSheetId="16">#REF!</definedName>
    <definedName name="DEPRECIACION" localSheetId="15">#REF!</definedName>
    <definedName name="DEPRECIACION" localSheetId="8">#REF!</definedName>
    <definedName name="DEPRECIACION" localSheetId="14">#REF!</definedName>
    <definedName name="DEPRECIACION" localSheetId="13">#REF!</definedName>
    <definedName name="DEPRECIACION" localSheetId="1">#REF!</definedName>
    <definedName name="DEPRECIACION" localSheetId="10">#REF!</definedName>
    <definedName name="DEPRECIACION" localSheetId="0">#REF!</definedName>
    <definedName name="DEPRECIACION" localSheetId="7">#REF!</definedName>
    <definedName name="DEPRECIACION" localSheetId="5">#REF!</definedName>
    <definedName name="DEPRECIACION" localSheetId="6">#REF!</definedName>
    <definedName name="DEPRECIACION">#REF!</definedName>
    <definedName name="Dirección" localSheetId="3">#REF!</definedName>
    <definedName name="Dirección" localSheetId="16">#REF!</definedName>
    <definedName name="Dirección" localSheetId="15">#REF!</definedName>
    <definedName name="Dirección" localSheetId="8">#REF!</definedName>
    <definedName name="Dirección" localSheetId="14">#REF!</definedName>
    <definedName name="Dirección" localSheetId="13">#REF!</definedName>
    <definedName name="Dirección" localSheetId="1">#REF!</definedName>
    <definedName name="Dirección" localSheetId="10">#REF!</definedName>
    <definedName name="Dirección" localSheetId="0">#REF!</definedName>
    <definedName name="Dirección" localSheetId="7">#REF!</definedName>
    <definedName name="Dirección" localSheetId="5">#REF!</definedName>
    <definedName name="Dirección" localSheetId="6">#REF!</definedName>
    <definedName name="Dirección">#REF!</definedName>
    <definedName name="direccion2" localSheetId="3">#REF!</definedName>
    <definedName name="direccion2" localSheetId="16">#REF!</definedName>
    <definedName name="direccion2" localSheetId="15">#REF!</definedName>
    <definedName name="direccion2" localSheetId="8">#REF!</definedName>
    <definedName name="direccion2" localSheetId="14">#REF!</definedName>
    <definedName name="direccion2" localSheetId="13">#REF!</definedName>
    <definedName name="direccion2" localSheetId="1">#REF!</definedName>
    <definedName name="direccion2" localSheetId="10">#REF!</definedName>
    <definedName name="direccion2" localSheetId="0">#REF!</definedName>
    <definedName name="direccion2" localSheetId="7">#REF!</definedName>
    <definedName name="direccion2" localSheetId="5">#REF!</definedName>
    <definedName name="direccion2" localSheetId="6">#REF!</definedName>
    <definedName name="direccion2">#REF!</definedName>
    <definedName name="EMail" localSheetId="3">#REF!</definedName>
    <definedName name="EMail" localSheetId="16">#REF!</definedName>
    <definedName name="EMail" localSheetId="15">#REF!</definedName>
    <definedName name="EMail" localSheetId="8">#REF!</definedName>
    <definedName name="EMail" localSheetId="14">#REF!</definedName>
    <definedName name="EMail" localSheetId="13">#REF!</definedName>
    <definedName name="EMail" localSheetId="1">#REF!</definedName>
    <definedName name="EMail" localSheetId="10">#REF!</definedName>
    <definedName name="EMail" localSheetId="0">#REF!</definedName>
    <definedName name="EMail" localSheetId="7">#REF!</definedName>
    <definedName name="EMail" localSheetId="5">#REF!</definedName>
    <definedName name="EMail" localSheetId="6">#REF!</definedName>
    <definedName name="EMail">#REF!</definedName>
    <definedName name="email2" localSheetId="3">#REF!</definedName>
    <definedName name="email2" localSheetId="16">#REF!</definedName>
    <definedName name="email2" localSheetId="15">#REF!</definedName>
    <definedName name="email2" localSheetId="8">#REF!</definedName>
    <definedName name="email2" localSheetId="14">#REF!</definedName>
    <definedName name="email2" localSheetId="13">#REF!</definedName>
    <definedName name="email2" localSheetId="1">#REF!</definedName>
    <definedName name="email2" localSheetId="10">#REF!</definedName>
    <definedName name="email2" localSheetId="0">#REF!</definedName>
    <definedName name="email2" localSheetId="7">#REF!</definedName>
    <definedName name="email2" localSheetId="5">#REF!</definedName>
    <definedName name="email2" localSheetId="6">#REF!</definedName>
    <definedName name="email2">#REF!</definedName>
    <definedName name="Fax" localSheetId="3">#REF!</definedName>
    <definedName name="Fax" localSheetId="16">#REF!</definedName>
    <definedName name="Fax" localSheetId="15">#REF!</definedName>
    <definedName name="Fax" localSheetId="8">#REF!</definedName>
    <definedName name="Fax" localSheetId="14">#REF!</definedName>
    <definedName name="Fax" localSheetId="13">#REF!</definedName>
    <definedName name="Fax" localSheetId="1">#REF!</definedName>
    <definedName name="Fax" localSheetId="10">#REF!</definedName>
    <definedName name="Fax" localSheetId="0">#REF!</definedName>
    <definedName name="Fax" localSheetId="7">#REF!</definedName>
    <definedName name="Fax" localSheetId="5">#REF!</definedName>
    <definedName name="Fax" localSheetId="6">#REF!</definedName>
    <definedName name="Fax">#REF!</definedName>
    <definedName name="Fecha" localSheetId="3">#REF!</definedName>
    <definedName name="Fecha" localSheetId="16">#REF!</definedName>
    <definedName name="Fecha" localSheetId="15">#REF!</definedName>
    <definedName name="Fecha" localSheetId="8">#REF!</definedName>
    <definedName name="Fecha" localSheetId="14">#REF!</definedName>
    <definedName name="Fecha" localSheetId="13">#REF!</definedName>
    <definedName name="Fecha" localSheetId="1">#REF!</definedName>
    <definedName name="Fecha" localSheetId="10">#REF!</definedName>
    <definedName name="Fecha" localSheetId="0">#REF!</definedName>
    <definedName name="Fecha" localSheetId="7">#REF!</definedName>
    <definedName name="Fecha" localSheetId="5">#REF!</definedName>
    <definedName name="Fecha" localSheetId="6">#REF!</definedName>
    <definedName name="Fecha">#REF!</definedName>
    <definedName name="Fecha_Ejercicio_Al" localSheetId="3">#REF!</definedName>
    <definedName name="Fecha_Ejercicio_Al" localSheetId="16">#REF!</definedName>
    <definedName name="Fecha_Ejercicio_Al" localSheetId="15">#REF!</definedName>
    <definedName name="Fecha_Ejercicio_Al" localSheetId="8">#REF!</definedName>
    <definedName name="Fecha_Ejercicio_Al" localSheetId="14">#REF!</definedName>
    <definedName name="Fecha_Ejercicio_Al" localSheetId="13">#REF!</definedName>
    <definedName name="Fecha_Ejercicio_Al" localSheetId="1">#REF!</definedName>
    <definedName name="Fecha_Ejercicio_Al" localSheetId="10">#REF!</definedName>
    <definedName name="Fecha_Ejercicio_Al" localSheetId="0">#REF!</definedName>
    <definedName name="Fecha_Ejercicio_Al" localSheetId="7">#REF!</definedName>
    <definedName name="Fecha_Ejercicio_Al" localSheetId="5">#REF!</definedName>
    <definedName name="Fecha_Ejercicio_Al" localSheetId="6">#REF!</definedName>
    <definedName name="Fecha_Ejercicio_Al">#REF!</definedName>
    <definedName name="Fecha_Ejercicio_Del" localSheetId="3">#REF!</definedName>
    <definedName name="Fecha_Ejercicio_Del" localSheetId="16">#REF!</definedName>
    <definedName name="Fecha_Ejercicio_Del" localSheetId="15">#REF!</definedName>
    <definedName name="Fecha_Ejercicio_Del" localSheetId="8">#REF!</definedName>
    <definedName name="Fecha_Ejercicio_Del" localSheetId="14">#REF!</definedName>
    <definedName name="Fecha_Ejercicio_Del" localSheetId="13">#REF!</definedName>
    <definedName name="Fecha_Ejercicio_Del" localSheetId="1">#REF!</definedName>
    <definedName name="Fecha_Ejercicio_Del" localSheetId="10">#REF!</definedName>
    <definedName name="Fecha_Ejercicio_Del" localSheetId="0">#REF!</definedName>
    <definedName name="Fecha_Ejercicio_Del" localSheetId="7">#REF!</definedName>
    <definedName name="Fecha_Ejercicio_Del" localSheetId="5">#REF!</definedName>
    <definedName name="Fecha_Ejercicio_Del" localSheetId="6">#REF!</definedName>
    <definedName name="Fecha_Ejercicio_Del">#REF!</definedName>
    <definedName name="Fecha_inicio_actividades" localSheetId="3">#REF!</definedName>
    <definedName name="Fecha_inicio_actividades" localSheetId="16">#REF!</definedName>
    <definedName name="Fecha_inicio_actividades" localSheetId="15">#REF!</definedName>
    <definedName name="Fecha_inicio_actividades" localSheetId="8">#REF!</definedName>
    <definedName name="Fecha_inicio_actividades" localSheetId="14">#REF!</definedName>
    <definedName name="Fecha_inicio_actividades" localSheetId="13">#REF!</definedName>
    <definedName name="Fecha_inicio_actividades" localSheetId="1">#REF!</definedName>
    <definedName name="Fecha_inicio_actividades" localSheetId="10">#REF!</definedName>
    <definedName name="Fecha_inicio_actividades" localSheetId="0">#REF!</definedName>
    <definedName name="Fecha_inicio_actividades" localSheetId="7">#REF!</definedName>
    <definedName name="Fecha_inicio_actividades" localSheetId="5">#REF!</definedName>
    <definedName name="Fecha_inicio_actividades" localSheetId="6">#REF!</definedName>
    <definedName name="Fecha_inicio_actividades">#REF!</definedName>
    <definedName name="FESAGFV" localSheetId="16">#REF!</definedName>
    <definedName name="FESAGFV" localSheetId="15">#REF!</definedName>
    <definedName name="FESAGFV" localSheetId="8">#REF!</definedName>
    <definedName name="FESAGFV" localSheetId="14">#REF!</definedName>
    <definedName name="FESAGFV" localSheetId="13">#REF!</definedName>
    <definedName name="FESAGFV" localSheetId="1">#REF!</definedName>
    <definedName name="FESAGFV" localSheetId="0">#REF!</definedName>
    <definedName name="FESAGFV">#REF!</definedName>
    <definedName name="Firma" localSheetId="3">#REF!</definedName>
    <definedName name="Firma" localSheetId="16">#REF!</definedName>
    <definedName name="Firma" localSheetId="15">#REF!</definedName>
    <definedName name="Firma" localSheetId="8">#REF!</definedName>
    <definedName name="Firma" localSheetId="14">#REF!</definedName>
    <definedName name="Firma" localSheetId="13">#REF!</definedName>
    <definedName name="Firma" localSheetId="1">#REF!</definedName>
    <definedName name="Firma" localSheetId="10">#REF!</definedName>
    <definedName name="Firma" localSheetId="0">#REF!</definedName>
    <definedName name="Firma" localSheetId="7">#REF!</definedName>
    <definedName name="Firma" localSheetId="5">#REF!</definedName>
    <definedName name="Firma" localSheetId="6">#REF!</definedName>
    <definedName name="Firma">#REF!</definedName>
    <definedName name="FORMULAS" localSheetId="3">#REF!,#REF!,#REF!,#REF!,#REF!,#REF!</definedName>
    <definedName name="FORMULAS" localSheetId="16">#REF!,#REF!,#REF!,#REF!,#REF!,#REF!</definedName>
    <definedName name="FORMULAS" localSheetId="15">#REF!,#REF!,#REF!,#REF!,#REF!,#REF!</definedName>
    <definedName name="FORMULAS" localSheetId="8">#REF!,#REF!,#REF!,#REF!,#REF!,#REF!</definedName>
    <definedName name="FORMULAS" localSheetId="14">#REF!,#REF!,#REF!,#REF!,#REF!,#REF!</definedName>
    <definedName name="FORMULAS" localSheetId="13">#REF!,#REF!,#REF!,#REF!,#REF!,#REF!</definedName>
    <definedName name="FORMULAS" localSheetId="1">#REF!,#REF!,#REF!,#REF!,#REF!,#REF!</definedName>
    <definedName name="FORMULAS" localSheetId="10">#REF!,#REF!,#REF!,#REF!,#REF!,#REF!</definedName>
    <definedName name="FORMULAS" localSheetId="0">#REF!,#REF!,#REF!,#REF!,#REF!,#REF!</definedName>
    <definedName name="FORMULAS" localSheetId="7">#REF!,#REF!,#REF!,#REF!,#REF!,#REF!</definedName>
    <definedName name="FORMULAS" localSheetId="5">#REF!,#REF!,#REF!,#REF!,#REF!,#REF!</definedName>
    <definedName name="FORMULAS" localSheetId="6">#REF!,#REF!,#REF!,#REF!,#REF!,#REF!</definedName>
    <definedName name="FORMULAS">#REF!,#REF!,#REF!,#REF!,#REF!,#REF!</definedName>
    <definedName name="FORMULAS2" localSheetId="3">#REF!,#REF!,#REF!,#REF!,#REF!,#REF!</definedName>
    <definedName name="FORMULAS2" localSheetId="16">#REF!,#REF!,#REF!,#REF!,#REF!,#REF!</definedName>
    <definedName name="FORMULAS2" localSheetId="15">#REF!,#REF!,#REF!,#REF!,#REF!,#REF!</definedName>
    <definedName name="FORMULAS2" localSheetId="8">#REF!,#REF!,#REF!,#REF!,#REF!,#REF!</definedName>
    <definedName name="FORMULAS2" localSheetId="14">#REF!,#REF!,#REF!,#REF!,#REF!,#REF!</definedName>
    <definedName name="FORMULAS2" localSheetId="13">#REF!,#REF!,#REF!,#REF!,#REF!,#REF!</definedName>
    <definedName name="FORMULAS2" localSheetId="1">#REF!,#REF!,#REF!,#REF!,#REF!,#REF!</definedName>
    <definedName name="FORMULAS2" localSheetId="10">#REF!,#REF!,#REF!,#REF!,#REF!,#REF!</definedName>
    <definedName name="FORMULAS2" localSheetId="0">#REF!,#REF!,#REF!,#REF!,#REF!,#REF!</definedName>
    <definedName name="FORMULAS2" localSheetId="7">#REF!,#REF!,#REF!,#REF!,#REF!,#REF!</definedName>
    <definedName name="FORMULAS2" localSheetId="5">#REF!,#REF!,#REF!,#REF!,#REF!,#REF!</definedName>
    <definedName name="FORMULAS2" localSheetId="6">#REF!,#REF!,#REF!,#REF!,#REF!,#REF!</definedName>
    <definedName name="FORMULAS2">#REF!,#REF!,#REF!,#REF!,#REF!,#REF!</definedName>
    <definedName name="FORMULAS3" localSheetId="3">#REF!,#REF!,#REF!,#REF!,#REF!,#REF!</definedName>
    <definedName name="FORMULAS3" localSheetId="16">#REF!,#REF!,#REF!,#REF!,#REF!,#REF!</definedName>
    <definedName name="FORMULAS3" localSheetId="15">#REF!,#REF!,#REF!,#REF!,#REF!,#REF!</definedName>
    <definedName name="FORMULAS3" localSheetId="8">#REF!,#REF!,#REF!,#REF!,#REF!,#REF!</definedName>
    <definedName name="FORMULAS3" localSheetId="14">#REF!,#REF!,#REF!,#REF!,#REF!,#REF!</definedName>
    <definedName name="FORMULAS3" localSheetId="13">#REF!,#REF!,#REF!,#REF!,#REF!,#REF!</definedName>
    <definedName name="FORMULAS3" localSheetId="1">#REF!,#REF!,#REF!,#REF!,#REF!,#REF!</definedName>
    <definedName name="FORMULAS3" localSheetId="10">#REF!,#REF!,#REF!,#REF!,#REF!,#REF!</definedName>
    <definedName name="FORMULAS3" localSheetId="0">#REF!,#REF!,#REF!,#REF!,#REF!,#REF!</definedName>
    <definedName name="FORMULAS3" localSheetId="7">#REF!,#REF!,#REF!,#REF!,#REF!,#REF!</definedName>
    <definedName name="FORMULAS3" localSheetId="5">#REF!,#REF!,#REF!,#REF!,#REF!,#REF!</definedName>
    <definedName name="FORMULAS3" localSheetId="6">#REF!,#REF!,#REF!,#REF!,#REF!,#REF!</definedName>
    <definedName name="FORMULAS3">#REF!,#REF!,#REF!,#REF!,#REF!,#REF!</definedName>
    <definedName name="gastos" localSheetId="3">'[1]B-1'!#REF!</definedName>
    <definedName name="gastos" localSheetId="16">'[1]B-1'!#REF!</definedName>
    <definedName name="gastos" localSheetId="15">'[1]B-1'!#REF!</definedName>
    <definedName name="gastos" localSheetId="8">'[1]B-1'!#REF!</definedName>
    <definedName name="gastos" localSheetId="14">'[1]B-1'!#REF!</definedName>
    <definedName name="gastos" localSheetId="13">'[1]B-1'!#REF!</definedName>
    <definedName name="gastos" localSheetId="1">'[1]B-1'!#REF!</definedName>
    <definedName name="gastos" localSheetId="10">'[1]B-1'!#REF!</definedName>
    <definedName name="gastos" localSheetId="0">'[1]B-1'!#REF!</definedName>
    <definedName name="gastos" localSheetId="7">'[1]B-1'!#REF!</definedName>
    <definedName name="gastos" localSheetId="5">'[1]B-1'!#REF!</definedName>
    <definedName name="gastos" localSheetId="6">'[1]B-1'!#REF!</definedName>
    <definedName name="gastos">'[1]B-1'!#REF!</definedName>
    <definedName name="impuesto" localSheetId="3">#REF!</definedName>
    <definedName name="impuesto" localSheetId="16">#REF!</definedName>
    <definedName name="impuesto" localSheetId="15">#REF!</definedName>
    <definedName name="impuesto" localSheetId="8">#REF!</definedName>
    <definedName name="impuesto" localSheetId="14">#REF!</definedName>
    <definedName name="impuesto" localSheetId="13">#REF!</definedName>
    <definedName name="impuesto" localSheetId="1">#REF!</definedName>
    <definedName name="impuesto" localSheetId="10">#REF!</definedName>
    <definedName name="impuesto" localSheetId="0">#REF!</definedName>
    <definedName name="impuesto" localSheetId="7">#REF!</definedName>
    <definedName name="impuesto" localSheetId="5">#REF!</definedName>
    <definedName name="impuesto" localSheetId="6">#REF!</definedName>
    <definedName name="impuesto">#REF!</definedName>
    <definedName name="ingresos" localSheetId="3">'[1]B-1'!#REF!</definedName>
    <definedName name="ingresos" localSheetId="16">'[1]B-1'!#REF!</definedName>
    <definedName name="ingresos" localSheetId="15">'[1]B-1'!#REF!</definedName>
    <definedName name="ingresos" localSheetId="8">'[1]B-1'!#REF!</definedName>
    <definedName name="ingresos" localSheetId="14">'[1]B-1'!#REF!</definedName>
    <definedName name="ingresos" localSheetId="13">'[1]B-1'!#REF!</definedName>
    <definedName name="ingresos" localSheetId="1">'[1]B-1'!#REF!</definedName>
    <definedName name="ingresos" localSheetId="10">'[1]B-1'!#REF!</definedName>
    <definedName name="ingresos" localSheetId="0">'[1]B-1'!#REF!</definedName>
    <definedName name="ingresos" localSheetId="7">'[1]B-1'!#REF!</definedName>
    <definedName name="ingresos" localSheetId="5">'[1]B-1'!#REF!</definedName>
    <definedName name="ingresos" localSheetId="6">'[1]B-1'!#REF!</definedName>
    <definedName name="ingresos">'[1]B-1'!#REF!</definedName>
    <definedName name="Inverciones_No" localSheetId="3">#REF!</definedName>
    <definedName name="Inverciones_No" localSheetId="16">#REF!</definedName>
    <definedName name="Inverciones_No" localSheetId="15">#REF!</definedName>
    <definedName name="Inverciones_No" localSheetId="8">#REF!</definedName>
    <definedName name="Inverciones_No" localSheetId="14">#REF!</definedName>
    <definedName name="Inverciones_No" localSheetId="13">#REF!</definedName>
    <definedName name="Inverciones_No" localSheetId="1">#REF!</definedName>
    <definedName name="Inverciones_No" localSheetId="10">#REF!</definedName>
    <definedName name="Inverciones_No" localSheetId="0">#REF!</definedName>
    <definedName name="Inverciones_No" localSheetId="7">#REF!</definedName>
    <definedName name="Inverciones_No" localSheetId="5">#REF!</definedName>
    <definedName name="Inverciones_No" localSheetId="6">#REF!</definedName>
    <definedName name="Inverciones_No">#REF!</definedName>
    <definedName name="Inversiones_Si" localSheetId="3">#REF!</definedName>
    <definedName name="Inversiones_Si" localSheetId="16">#REF!</definedName>
    <definedName name="Inversiones_Si" localSheetId="15">#REF!</definedName>
    <definedName name="Inversiones_Si" localSheetId="8">#REF!</definedName>
    <definedName name="Inversiones_Si" localSheetId="14">#REF!</definedName>
    <definedName name="Inversiones_Si" localSheetId="13">#REF!</definedName>
    <definedName name="Inversiones_Si" localSheetId="1">#REF!</definedName>
    <definedName name="Inversiones_Si" localSheetId="10">#REF!</definedName>
    <definedName name="Inversiones_Si" localSheetId="0">#REF!</definedName>
    <definedName name="Inversiones_Si" localSheetId="7">#REF!</definedName>
    <definedName name="Inversiones_Si" localSheetId="5">#REF!</definedName>
    <definedName name="Inversiones_Si" localSheetId="6">#REF!</definedName>
    <definedName name="Inversiones_Si">#REF!</definedName>
    <definedName name="libg" localSheetId="3">#REF!</definedName>
    <definedName name="libg" localSheetId="16">#REF!</definedName>
    <definedName name="libg" localSheetId="15">#REF!</definedName>
    <definedName name="libg" localSheetId="8">#REF!</definedName>
    <definedName name="libg" localSheetId="14">#REF!</definedName>
    <definedName name="libg" localSheetId="13">#REF!</definedName>
    <definedName name="libg" localSheetId="1">#REF!</definedName>
    <definedName name="libg" localSheetId="10">#REF!</definedName>
    <definedName name="libg" localSheetId="0">#REF!</definedName>
    <definedName name="libg" localSheetId="7">#REF!</definedName>
    <definedName name="libg" localSheetId="5">#REF!</definedName>
    <definedName name="libg" localSheetId="6">#REF!</definedName>
    <definedName name="libg">#REF!</definedName>
    <definedName name="libro2014" localSheetId="3">#REF!</definedName>
    <definedName name="libro2014" localSheetId="16">#REF!</definedName>
    <definedName name="libro2014" localSheetId="15">#REF!</definedName>
    <definedName name="libro2014" localSheetId="8">#REF!</definedName>
    <definedName name="libro2014" localSheetId="14">#REF!</definedName>
    <definedName name="libro2014" localSheetId="13">#REF!</definedName>
    <definedName name="libro2014" localSheetId="1">#REF!</definedName>
    <definedName name="libro2014" localSheetId="10">#REF!</definedName>
    <definedName name="libro2014" localSheetId="0">#REF!</definedName>
    <definedName name="libro2014" localSheetId="7">#REF!</definedName>
    <definedName name="libro2014" localSheetId="5">#REF!</definedName>
    <definedName name="libro2014" localSheetId="6">#REF!</definedName>
    <definedName name="libro2014">#REF!</definedName>
    <definedName name="LIQUIDACION" localSheetId="3">#REF!</definedName>
    <definedName name="LIQUIDACION" localSheetId="16">#REF!</definedName>
    <definedName name="LIQUIDACION" localSheetId="15">#REF!</definedName>
    <definedName name="LIQUIDACION" localSheetId="8">#REF!</definedName>
    <definedName name="LIQUIDACION" localSheetId="14">#REF!</definedName>
    <definedName name="LIQUIDACION" localSheetId="13">#REF!</definedName>
    <definedName name="LIQUIDACION" localSheetId="1">#REF!</definedName>
    <definedName name="LIQUIDACION" localSheetId="10">#REF!</definedName>
    <definedName name="LIQUIDACION" localSheetId="0">#REF!</definedName>
    <definedName name="LIQUIDACION" localSheetId="7">#REF!</definedName>
    <definedName name="LIQUIDACION" localSheetId="5">#REF!</definedName>
    <definedName name="LIQUIDACION" localSheetId="6">#REF!</definedName>
    <definedName name="LIQUIDACION">#REF!</definedName>
    <definedName name="NOMBRE_COMERCIAL" localSheetId="3">#REF!</definedName>
    <definedName name="NOMBRE_COMERCIAL" localSheetId="16">#REF!</definedName>
    <definedName name="NOMBRE_COMERCIAL" localSheetId="15">#REF!</definedName>
    <definedName name="NOMBRE_COMERCIAL" localSheetId="8">#REF!</definedName>
    <definedName name="NOMBRE_COMERCIAL" localSheetId="14">#REF!</definedName>
    <definedName name="NOMBRE_COMERCIAL" localSheetId="13">#REF!</definedName>
    <definedName name="NOMBRE_COMERCIAL" localSheetId="1">#REF!</definedName>
    <definedName name="NOMBRE_COMERCIAL" localSheetId="10">#REF!</definedName>
    <definedName name="NOMBRE_COMERCIAL" localSheetId="0">#REF!</definedName>
    <definedName name="NOMBRE_COMERCIAL" localSheetId="7">#REF!</definedName>
    <definedName name="NOMBRE_COMERCIAL" localSheetId="5">#REF!</definedName>
    <definedName name="NOMBRE_COMERCIAL" localSheetId="6">#REF!</definedName>
    <definedName name="NOMBRE_COMERCIAL">#REF!</definedName>
    <definedName name="nuevo" localSheetId="16">#REF!,#REF!,#REF!,#REF!,#REF!,#REF!,#REF!,#REF!,#REF!,#REF!,#REF!,#REF!,#REF!,#REF!,#REF!,#REF!,#REF!,#REF!</definedName>
    <definedName name="nuevo" localSheetId="15">#REF!,#REF!,#REF!,#REF!,#REF!,#REF!,#REF!,#REF!,#REF!,#REF!,#REF!,#REF!,#REF!,#REF!,#REF!,#REF!,#REF!,#REF!</definedName>
    <definedName name="nuevo" localSheetId="8">#REF!,#REF!,#REF!,#REF!,#REF!,#REF!,#REF!,#REF!,#REF!,#REF!,#REF!,#REF!,#REF!,#REF!,#REF!,#REF!,#REF!,#REF!</definedName>
    <definedName name="nuevo" localSheetId="14">#REF!,#REF!,#REF!,#REF!,#REF!,#REF!,#REF!,#REF!,#REF!,#REF!,#REF!,#REF!,#REF!,#REF!,#REF!,#REF!,#REF!,#REF!</definedName>
    <definedName name="nuevo" localSheetId="13">#REF!,#REF!,#REF!,#REF!,#REF!,#REF!,#REF!,#REF!,#REF!,#REF!,#REF!,#REF!,#REF!,#REF!,#REF!,#REF!,#REF!,#REF!</definedName>
    <definedName name="nuevo" localSheetId="1">#REF!,#REF!,#REF!,#REF!,#REF!,#REF!,#REF!,#REF!,#REF!,#REF!,#REF!,#REF!,#REF!,#REF!,#REF!,#REF!,#REF!,#REF!</definedName>
    <definedName name="nuevo" localSheetId="0">#REF!,#REF!,#REF!,#REF!,#REF!,#REF!,#REF!,#REF!,#REF!,#REF!,#REF!,#REF!,#REF!,#REF!,#REF!,#REF!,#REF!,#REF!</definedName>
    <definedName name="nuevo">#REF!,#REF!,#REF!,#REF!,#REF!,#REF!,#REF!,#REF!,#REF!,#REF!,#REF!,#REF!,#REF!,#REF!,#REF!,#REF!,#REF!,#REF!</definedName>
    <definedName name="Numero" localSheetId="3">#REF!</definedName>
    <definedName name="Numero" localSheetId="16">#REF!</definedName>
    <definedName name="Numero" localSheetId="15">#REF!</definedName>
    <definedName name="Numero" localSheetId="8">#REF!</definedName>
    <definedName name="Numero" localSheetId="14">#REF!</definedName>
    <definedName name="Numero" localSheetId="13">#REF!</definedName>
    <definedName name="Numero" localSheetId="1">#REF!</definedName>
    <definedName name="Numero" localSheetId="10">#REF!</definedName>
    <definedName name="Numero" localSheetId="0">#REF!</definedName>
    <definedName name="Numero" localSheetId="7">#REF!</definedName>
    <definedName name="Numero" localSheetId="5">#REF!</definedName>
    <definedName name="Numero" localSheetId="6">#REF!</definedName>
    <definedName name="Numero">#REF!</definedName>
    <definedName name="Provincia" localSheetId="3">#REF!</definedName>
    <definedName name="Provincia" localSheetId="16">#REF!</definedName>
    <definedName name="Provincia" localSheetId="15">#REF!</definedName>
    <definedName name="Provincia" localSheetId="8">#REF!</definedName>
    <definedName name="Provincia" localSheetId="14">#REF!</definedName>
    <definedName name="Provincia" localSheetId="13">#REF!</definedName>
    <definedName name="Provincia" localSheetId="1">#REF!</definedName>
    <definedName name="Provincia" localSheetId="10">#REF!</definedName>
    <definedName name="Provincia" localSheetId="0">#REF!</definedName>
    <definedName name="Provincia" localSheetId="7">#REF!</definedName>
    <definedName name="Provincia" localSheetId="5">#REF!</definedName>
    <definedName name="Provincia" localSheetId="6">#REF!</definedName>
    <definedName name="Provincia">#REF!</definedName>
    <definedName name="RAZON_SOCIAL" localSheetId="3">#REF!</definedName>
    <definedName name="RAZON_SOCIAL" localSheetId="16">#REF!</definedName>
    <definedName name="RAZON_SOCIAL" localSheetId="15">#REF!</definedName>
    <definedName name="RAZON_SOCIAL" localSheetId="8">#REF!</definedName>
    <definedName name="RAZON_SOCIAL" localSheetId="14">#REF!</definedName>
    <definedName name="RAZON_SOCIAL" localSheetId="13">#REF!</definedName>
    <definedName name="RAZON_SOCIAL" localSheetId="1">#REF!</definedName>
    <definedName name="RAZON_SOCIAL" localSheetId="10">#REF!</definedName>
    <definedName name="RAZON_SOCIAL" localSheetId="0">#REF!</definedName>
    <definedName name="RAZON_SOCIAL" localSheetId="7">#REF!</definedName>
    <definedName name="RAZON_SOCIAL" localSheetId="5">#REF!</definedName>
    <definedName name="RAZON_SOCIAL" localSheetId="6">#REF!</definedName>
    <definedName name="RAZON_SOCIAL">#REF!</definedName>
    <definedName name="renta" localSheetId="3">#REF!</definedName>
    <definedName name="renta" localSheetId="16">#REF!</definedName>
    <definedName name="renta" localSheetId="15">#REF!</definedName>
    <definedName name="renta" localSheetId="8">#REF!</definedName>
    <definedName name="renta" localSheetId="14">#REF!</definedName>
    <definedName name="renta" localSheetId="13">#REF!</definedName>
    <definedName name="renta" localSheetId="1">#REF!</definedName>
    <definedName name="renta" localSheetId="10">#REF!</definedName>
    <definedName name="renta" localSheetId="0">#REF!</definedName>
    <definedName name="renta" localSheetId="7">#REF!</definedName>
    <definedName name="renta" localSheetId="5">#REF!</definedName>
    <definedName name="renta" localSheetId="6">#REF!</definedName>
    <definedName name="renta">#REF!</definedName>
    <definedName name="RNC" localSheetId="3">#REF!</definedName>
    <definedName name="RNC" localSheetId="16">#REF!</definedName>
    <definedName name="RNC" localSheetId="15">#REF!</definedName>
    <definedName name="RNC" localSheetId="8">#REF!</definedName>
    <definedName name="RNC" localSheetId="14">#REF!</definedName>
    <definedName name="RNC" localSheetId="13">#REF!</definedName>
    <definedName name="RNC" localSheetId="1">#REF!</definedName>
    <definedName name="RNC" localSheetId="10">#REF!</definedName>
    <definedName name="RNC" localSheetId="0">#REF!</definedName>
    <definedName name="RNC" localSheetId="7">#REF!</definedName>
    <definedName name="RNC" localSheetId="5">#REF!</definedName>
    <definedName name="RNC" localSheetId="6">#REF!</definedName>
    <definedName name="RNC">#REF!</definedName>
    <definedName name="SDSRED" localSheetId="3">#REF!,#REF!,#REF!,#REF!,#REF!,#REF!,#REF!,#REF!,#REF!,#REF!,#REF!,#REF!,#REF!,#REF!,#REF!,#REF!,#REF!,#REF!</definedName>
    <definedName name="SDSRED" localSheetId="16">#REF!,#REF!,#REF!,#REF!,#REF!,#REF!,#REF!,#REF!,#REF!,#REF!,#REF!,#REF!,#REF!,#REF!,#REF!,#REF!,#REF!,#REF!</definedName>
    <definedName name="SDSRED" localSheetId="15">#REF!,#REF!,#REF!,#REF!,#REF!,#REF!,#REF!,#REF!,#REF!,#REF!,#REF!,#REF!,#REF!,#REF!,#REF!,#REF!,#REF!,#REF!</definedName>
    <definedName name="SDSRED" localSheetId="8">#REF!,#REF!,#REF!,#REF!,#REF!,#REF!,#REF!,#REF!,#REF!,#REF!,#REF!,#REF!,#REF!,#REF!,#REF!,#REF!,#REF!,#REF!</definedName>
    <definedName name="SDSRED" localSheetId="14">#REF!,#REF!,#REF!,#REF!,#REF!,#REF!,#REF!,#REF!,#REF!,#REF!,#REF!,#REF!,#REF!,#REF!,#REF!,#REF!,#REF!,#REF!</definedName>
    <definedName name="SDSRED" localSheetId="13">#REF!,#REF!,#REF!,#REF!,#REF!,#REF!,#REF!,#REF!,#REF!,#REF!,#REF!,#REF!,#REF!,#REF!,#REF!,#REF!,#REF!,#REF!</definedName>
    <definedName name="SDSRED" localSheetId="1">#REF!,#REF!,#REF!,#REF!,#REF!,#REF!,#REF!,#REF!,#REF!,#REF!,#REF!,#REF!,#REF!,#REF!,#REF!,#REF!,#REF!,#REF!</definedName>
    <definedName name="SDSRED" localSheetId="10">#REF!,#REF!,#REF!,#REF!,#REF!,#REF!,#REF!,#REF!,#REF!,#REF!,#REF!,#REF!,#REF!,#REF!,#REF!,#REF!,#REF!,#REF!</definedName>
    <definedName name="SDSRED" localSheetId="0">#REF!,#REF!,#REF!,#REF!,#REF!,#REF!,#REF!,#REF!,#REF!,#REF!,#REF!,#REF!,#REF!,#REF!,#REF!,#REF!,#REF!,#REF!</definedName>
    <definedName name="SDSRED" localSheetId="7">#REF!,#REF!,#REF!,#REF!,#REF!,#REF!,#REF!,#REF!,#REF!,#REF!,#REF!,#REF!,#REF!,#REF!,#REF!,#REF!,#REF!,#REF!</definedName>
    <definedName name="SDSRED" localSheetId="5">#REF!,#REF!,#REF!,#REF!,#REF!,#REF!,#REF!,#REF!,#REF!,#REF!,#REF!,#REF!,#REF!,#REF!,#REF!,#REF!,#REF!,#REF!</definedName>
    <definedName name="SDSRED" localSheetId="6">#REF!,#REF!,#REF!,#REF!,#REF!,#REF!,#REF!,#REF!,#REF!,#REF!,#REF!,#REF!,#REF!,#REF!,#REF!,#REF!,#REF!,#REF!</definedName>
    <definedName name="SDSRED">#REF!,#REF!,#REF!,#REF!,#REF!,#REF!,#REF!,#REF!,#REF!,#REF!,#REF!,#REF!,#REF!,#REF!,#REF!,#REF!,#REF!,#REF!</definedName>
    <definedName name="Sector_BArrio_Urb" localSheetId="3">#REF!</definedName>
    <definedName name="Sector_BArrio_Urb" localSheetId="16">#REF!</definedName>
    <definedName name="Sector_BArrio_Urb" localSheetId="15">#REF!</definedName>
    <definedName name="Sector_BArrio_Urb" localSheetId="8">#REF!</definedName>
    <definedName name="Sector_BArrio_Urb" localSheetId="14">#REF!</definedName>
    <definedName name="Sector_BArrio_Urb" localSheetId="13">#REF!</definedName>
    <definedName name="Sector_BArrio_Urb" localSheetId="1">#REF!</definedName>
    <definedName name="Sector_BArrio_Urb" localSheetId="10">#REF!</definedName>
    <definedName name="Sector_BArrio_Urb" localSheetId="0">#REF!</definedName>
    <definedName name="Sector_BArrio_Urb" localSheetId="7">#REF!</definedName>
    <definedName name="Sector_BArrio_Urb" localSheetId="5">#REF!</definedName>
    <definedName name="Sector_BArrio_Urb" localSheetId="6">#REF!</definedName>
    <definedName name="Sector_BArrio_Urb">#REF!</definedName>
    <definedName name="Siglas" localSheetId="3">#REF!</definedName>
    <definedName name="Siglas" localSheetId="16">#REF!</definedName>
    <definedName name="Siglas" localSheetId="15">#REF!</definedName>
    <definedName name="Siglas" localSheetId="8">#REF!</definedName>
    <definedName name="Siglas" localSheetId="14">#REF!</definedName>
    <definedName name="Siglas" localSheetId="13">#REF!</definedName>
    <definedName name="Siglas" localSheetId="1">#REF!</definedName>
    <definedName name="Siglas" localSheetId="10">#REF!</definedName>
    <definedName name="Siglas" localSheetId="0">#REF!</definedName>
    <definedName name="Siglas" localSheetId="7">#REF!</definedName>
    <definedName name="Siglas" localSheetId="5">#REF!</definedName>
    <definedName name="Siglas" localSheetId="6">#REF!</definedName>
    <definedName name="Siglas">#REF!</definedName>
    <definedName name="sqfgj" localSheetId="16">#REF!</definedName>
    <definedName name="sqfgj" localSheetId="15">#REF!</definedName>
    <definedName name="sqfgj" localSheetId="8">#REF!</definedName>
    <definedName name="sqfgj" localSheetId="14">#REF!</definedName>
    <definedName name="sqfgj" localSheetId="13">#REF!</definedName>
    <definedName name="sqfgj" localSheetId="1">#REF!</definedName>
    <definedName name="sqfgj" localSheetId="0">#REF!</definedName>
    <definedName name="sqfgj" localSheetId="7">#REF!</definedName>
    <definedName name="sqfgj" localSheetId="5">#REF!</definedName>
    <definedName name="sqfgj" localSheetId="6">#REF!</definedName>
    <definedName name="sqfgj">#REF!</definedName>
    <definedName name="Telefono" localSheetId="3">#REF!</definedName>
    <definedName name="Telefono" localSheetId="16">#REF!</definedName>
    <definedName name="Telefono" localSheetId="15">#REF!</definedName>
    <definedName name="Telefono" localSheetId="8">#REF!</definedName>
    <definedName name="Telefono" localSheetId="14">#REF!</definedName>
    <definedName name="Telefono" localSheetId="13">#REF!</definedName>
    <definedName name="Telefono" localSheetId="1">#REF!</definedName>
    <definedName name="Telefono" localSheetId="10">#REF!</definedName>
    <definedName name="Telefono" localSheetId="0">#REF!</definedName>
    <definedName name="Telefono" localSheetId="7">#REF!</definedName>
    <definedName name="Telefono" localSheetId="5">#REF!</definedName>
    <definedName name="Telefono" localSheetId="6">#REF!</definedName>
    <definedName name="Telefono">#REF!</definedName>
    <definedName name="_xlnm.Print_Titles" localSheetId="4">ED!$5:$5</definedName>
  </definedNames>
  <calcPr calcId="181029"/>
</workbook>
</file>

<file path=xl/calcChain.xml><?xml version="1.0" encoding="utf-8"?>
<calcChain xmlns="http://schemas.openxmlformats.org/spreadsheetml/2006/main">
  <c r="J370" i="2" l="1"/>
  <c r="H349" i="2"/>
  <c r="J18" i="2"/>
  <c r="E11" i="28"/>
  <c r="G21" i="28"/>
  <c r="J230" i="2"/>
  <c r="H251" i="2"/>
  <c r="H260" i="2" s="1"/>
  <c r="J260" i="2"/>
  <c r="F24" i="28"/>
  <c r="E31" i="28"/>
  <c r="F22" i="28"/>
  <c r="F34" i="28"/>
  <c r="F26" i="28"/>
  <c r="E33" i="28"/>
  <c r="E25" i="28"/>
  <c r="E23" i="28"/>
  <c r="E30" i="28"/>
  <c r="K24" i="28"/>
  <c r="K23" i="28"/>
  <c r="K21" i="28"/>
  <c r="K27" i="28" s="1"/>
  <c r="L36" i="28" s="1"/>
  <c r="E35" i="28" l="1"/>
  <c r="J32" i="2"/>
  <c r="F31" i="28"/>
  <c r="F30" i="28"/>
  <c r="M260" i="2" l="1"/>
  <c r="G30" i="28"/>
  <c r="J21" i="28" s="1"/>
  <c r="J10" i="353" l="1"/>
  <c r="J229" i="2" l="1"/>
  <c r="F32" i="28" s="1"/>
  <c r="F102" i="28"/>
  <c r="E27" i="393"/>
  <c r="E28" i="393" s="1"/>
  <c r="J171" i="2"/>
  <c r="H145" i="2"/>
  <c r="H135" i="2"/>
  <c r="H27" i="397"/>
  <c r="H26" i="397"/>
  <c r="F26" i="397"/>
  <c r="H25" i="397"/>
  <c r="F25" i="397"/>
  <c r="H24" i="397"/>
  <c r="F24" i="397"/>
  <c r="H23" i="397"/>
  <c r="F23" i="397"/>
  <c r="H22" i="397"/>
  <c r="F22" i="397"/>
  <c r="H21" i="397"/>
  <c r="F21" i="397"/>
  <c r="H18" i="397"/>
  <c r="F50" i="28" l="1"/>
  <c r="H18" i="396" l="1"/>
  <c r="H12" i="396"/>
  <c r="H17" i="396"/>
  <c r="F18" i="396"/>
  <c r="F17" i="396"/>
  <c r="F47" i="28"/>
  <c r="H343" i="2"/>
  <c r="I26" i="394"/>
  <c r="I25" i="394"/>
  <c r="I24" i="394"/>
  <c r="H19" i="396" l="1"/>
  <c r="G58" i="392"/>
  <c r="J368" i="2" l="1"/>
  <c r="J369" i="2"/>
  <c r="F10" i="28" s="1"/>
  <c r="J312" i="2"/>
  <c r="J172" i="2" l="1"/>
  <c r="H361" i="2" l="1"/>
  <c r="H335" i="2"/>
  <c r="H328" i="2" l="1"/>
  <c r="H320" i="2"/>
  <c r="H379" i="2"/>
  <c r="H381" i="2"/>
  <c r="E13" i="28" s="1"/>
  <c r="H357" i="2"/>
  <c r="H331" i="2"/>
  <c r="H360" i="2"/>
  <c r="H351" i="2"/>
  <c r="H358" i="2"/>
  <c r="E68" i="395"/>
  <c r="I68" i="395" s="1"/>
  <c r="G54" i="395"/>
  <c r="G51" i="395"/>
  <c r="E66" i="395" s="1"/>
  <c r="I66" i="395" s="1"/>
  <c r="G43" i="395"/>
  <c r="E65" i="395" s="1"/>
  <c r="I65" i="395" s="1"/>
  <c r="H69" i="395"/>
  <c r="G69" i="395"/>
  <c r="F69" i="395"/>
  <c r="I67" i="395"/>
  <c r="S66" i="395"/>
  <c r="V65" i="395"/>
  <c r="Y65" i="395" s="1"/>
  <c r="N54" i="395"/>
  <c r="K17" i="395"/>
  <c r="I17" i="395"/>
  <c r="G17" i="395"/>
  <c r="F17" i="395"/>
  <c r="E17" i="395"/>
  <c r="M16" i="395"/>
  <c r="M15" i="395"/>
  <c r="M14" i="395"/>
  <c r="M13" i="395"/>
  <c r="M12" i="395"/>
  <c r="M11" i="395"/>
  <c r="M10" i="395"/>
  <c r="M9" i="395"/>
  <c r="M8" i="395"/>
  <c r="M7" i="395"/>
  <c r="E64" i="392"/>
  <c r="G30" i="392"/>
  <c r="J242" i="2" s="1"/>
  <c r="G54" i="392"/>
  <c r="E65" i="392"/>
  <c r="E67" i="392"/>
  <c r="E17" i="392"/>
  <c r="O54" i="395" l="1"/>
  <c r="O55" i="395" s="1"/>
  <c r="M17" i="395"/>
  <c r="E19" i="395" s="1"/>
  <c r="G55" i="395" s="1"/>
  <c r="L17" i="395"/>
  <c r="E47" i="28"/>
  <c r="E64" i="395" l="1"/>
  <c r="I64" i="395" s="1"/>
  <c r="I69" i="395" s="1"/>
  <c r="H304" i="2"/>
  <c r="M16" i="392"/>
  <c r="E69" i="395" l="1"/>
  <c r="E70" i="395" s="1"/>
  <c r="G17" i="392"/>
  <c r="H295" i="2"/>
  <c r="H301" i="2"/>
  <c r="K17" i="392"/>
  <c r="I17" i="392"/>
  <c r="M15" i="392"/>
  <c r="M14" i="392"/>
  <c r="J458" i="2"/>
  <c r="J414" i="2"/>
  <c r="H365" i="2"/>
  <c r="H322" i="2"/>
  <c r="H435" i="2"/>
  <c r="H407" i="2"/>
  <c r="M13" i="392"/>
  <c r="H290" i="2"/>
  <c r="H292" i="2"/>
  <c r="H291" i="2"/>
  <c r="H289" i="2"/>
  <c r="H288" i="2"/>
  <c r="M12" i="392"/>
  <c r="M11" i="392"/>
  <c r="M10" i="392"/>
  <c r="M9" i="392"/>
  <c r="F27" i="394"/>
  <c r="F28" i="394" s="1"/>
  <c r="E46" i="28"/>
  <c r="H337" i="2"/>
  <c r="E51" i="28"/>
  <c r="I23" i="394"/>
  <c r="M8" i="392"/>
  <c r="H293" i="2" s="1"/>
  <c r="H167" i="2"/>
  <c r="H27" i="394" s="1"/>
  <c r="E12" i="125"/>
  <c r="I22" i="394"/>
  <c r="I21" i="394"/>
  <c r="I20" i="394"/>
  <c r="I19" i="394"/>
  <c r="I18" i="394"/>
  <c r="G18" i="28"/>
  <c r="J9" i="9"/>
  <c r="K9" i="9" s="1"/>
  <c r="E50" i="28" l="1"/>
  <c r="H236" i="2"/>
  <c r="H28" i="394"/>
  <c r="I17" i="394"/>
  <c r="I16" i="394"/>
  <c r="I15" i="394"/>
  <c r="I14" i="394"/>
  <c r="I13" i="394"/>
  <c r="I12" i="394"/>
  <c r="I11" i="394"/>
  <c r="I10" i="394"/>
  <c r="I9" i="394"/>
  <c r="I8" i="394"/>
  <c r="I7" i="394"/>
  <c r="H68" i="392"/>
  <c r="G68" i="392"/>
  <c r="F68" i="392"/>
  <c r="I67" i="392"/>
  <c r="I66" i="392"/>
  <c r="S65" i="392"/>
  <c r="I65" i="392"/>
  <c r="V64" i="392"/>
  <c r="Y64" i="392" s="1"/>
  <c r="I64" i="392"/>
  <c r="O54" i="392"/>
  <c r="O55" i="392" s="1"/>
  <c r="N54" i="392"/>
  <c r="H310" i="2"/>
  <c r="H309" i="2"/>
  <c r="H308" i="2"/>
  <c r="F17" i="392"/>
  <c r="M7" i="392"/>
  <c r="M17" i="392" s="1"/>
  <c r="E19" i="392" s="1"/>
  <c r="G55" i="392" s="1"/>
  <c r="E25" i="386"/>
  <c r="L17" i="392" l="1"/>
  <c r="I27" i="394"/>
  <c r="I28" i="394" s="1"/>
  <c r="E63" i="392" l="1"/>
  <c r="E68" i="392" s="1"/>
  <c r="H15" i="384"/>
  <c r="D17" i="384" s="1"/>
  <c r="F15" i="384"/>
  <c r="E45" i="385"/>
  <c r="G23" i="385"/>
  <c r="G39" i="385"/>
  <c r="G14" i="384" l="1"/>
  <c r="G13" i="384"/>
  <c r="G12" i="384"/>
  <c r="G11" i="384"/>
  <c r="I63" i="392"/>
  <c r="I68" i="392" s="1"/>
  <c r="E69" i="392"/>
  <c r="E46" i="385"/>
  <c r="E47" i="385"/>
  <c r="E13" i="385"/>
  <c r="I10" i="125"/>
  <c r="G15" i="384" l="1"/>
  <c r="H17" i="384" s="1"/>
  <c r="E11" i="125"/>
  <c r="N12" i="125" s="1"/>
  <c r="I21" i="388"/>
  <c r="I20" i="388"/>
  <c r="I19" i="388"/>
  <c r="I18" i="388"/>
  <c r="I17" i="388"/>
  <c r="I16" i="388"/>
  <c r="F23" i="388"/>
  <c r="I15" i="388"/>
  <c r="I14" i="388"/>
  <c r="I13" i="388"/>
  <c r="I12" i="388"/>
  <c r="I11" i="388"/>
  <c r="I10" i="388"/>
  <c r="I9" i="388"/>
  <c r="I8" i="388"/>
  <c r="I7" i="388"/>
  <c r="E26" i="386"/>
  <c r="H49" i="385"/>
  <c r="G49" i="385"/>
  <c r="F49" i="385"/>
  <c r="I48" i="385"/>
  <c r="I47" i="385"/>
  <c r="S46" i="385"/>
  <c r="I46" i="385"/>
  <c r="V45" i="385"/>
  <c r="Y45" i="385" s="1"/>
  <c r="I45" i="385"/>
  <c r="O39" i="385"/>
  <c r="K13" i="385"/>
  <c r="I13" i="385"/>
  <c r="G13" i="385"/>
  <c r="F13" i="385"/>
  <c r="M12" i="385"/>
  <c r="M9" i="385"/>
  <c r="M11" i="385"/>
  <c r="M10" i="385"/>
  <c r="M8" i="385"/>
  <c r="M7" i="385"/>
  <c r="H211" i="2"/>
  <c r="E122" i="28"/>
  <c r="E96" i="28"/>
  <c r="E73" i="28"/>
  <c r="E10" i="125"/>
  <c r="N11" i="125" s="1"/>
  <c r="E129" i="28"/>
  <c r="G49" i="28"/>
  <c r="G43" i="28"/>
  <c r="N13" i="125"/>
  <c r="N14" i="125"/>
  <c r="N15" i="125"/>
  <c r="N16" i="125"/>
  <c r="N17" i="125"/>
  <c r="N18" i="125"/>
  <c r="N19" i="125"/>
  <c r="N20" i="125"/>
  <c r="H8" i="125"/>
  <c r="E9" i="125"/>
  <c r="E8" i="125"/>
  <c r="C14" i="35"/>
  <c r="E119" i="28"/>
  <c r="E9" i="28"/>
  <c r="M13" i="385" l="1"/>
  <c r="E15" i="385" s="1"/>
  <c r="I22" i="388"/>
  <c r="L13" i="385"/>
  <c r="O40" i="385"/>
  <c r="C12" i="35"/>
  <c r="J190" i="2"/>
  <c r="G47" i="28"/>
  <c r="L9" i="9"/>
  <c r="E44" i="385" l="1"/>
  <c r="E49" i="385" s="1"/>
  <c r="G40" i="385"/>
  <c r="I23" i="388"/>
  <c r="H23" i="388"/>
  <c r="N39" i="385" l="1"/>
  <c r="E50" i="385"/>
  <c r="I44" i="385"/>
  <c r="I49" i="385" s="1"/>
  <c r="E123" i="28"/>
  <c r="F9" i="28" l="1"/>
  <c r="E12" i="28" l="1"/>
  <c r="F33" i="28" l="1"/>
  <c r="C23" i="125" l="1"/>
  <c r="J197" i="2" l="1"/>
  <c r="E149" i="28"/>
  <c r="F149" i="28"/>
  <c r="H197" i="2"/>
  <c r="J191" i="2"/>
  <c r="K197" i="2" l="1"/>
  <c r="M197" i="2"/>
  <c r="C11" i="35" l="1"/>
  <c r="C13" i="35" s="1"/>
  <c r="J277" i="2" l="1"/>
  <c r="E10" i="28" l="1"/>
  <c r="D29" i="28" l="1"/>
  <c r="F20" i="125" l="1"/>
  <c r="H371" i="2" l="1"/>
  <c r="G51" i="28" l="1"/>
  <c r="J278" i="2" l="1"/>
  <c r="E87" i="28" l="1"/>
  <c r="J11" i="9" l="1"/>
  <c r="K11" i="9" l="1"/>
  <c r="H212" i="2"/>
  <c r="E102" i="28" s="1"/>
  <c r="E17" i="28"/>
  <c r="E143" i="28" l="1"/>
  <c r="P11" i="9"/>
  <c r="Q11" i="9" s="1"/>
  <c r="L11" i="9"/>
  <c r="G15" i="28"/>
  <c r="H33" i="2"/>
  <c r="F10" i="18" l="1"/>
  <c r="D20" i="28"/>
  <c r="E134" i="28" l="1"/>
  <c r="E62" i="28"/>
  <c r="J178" i="2"/>
  <c r="E131" i="28" l="1"/>
  <c r="J243" i="2" l="1"/>
  <c r="H243" i="2" l="1"/>
  <c r="E76" i="28" l="1"/>
  <c r="G76" i="28" s="1"/>
  <c r="J265" i="2" l="1"/>
  <c r="E19" i="68"/>
  <c r="F19" i="68"/>
  <c r="J179" i="2" l="1"/>
  <c r="G15" i="68" l="1"/>
  <c r="G16" i="68" s="1"/>
  <c r="G17" i="68" s="1"/>
  <c r="G18" i="68" s="1"/>
  <c r="E69" i="28"/>
  <c r="G50" i="28"/>
  <c r="G19" i="68" l="1"/>
  <c r="J12" i="9"/>
  <c r="K12" i="9" s="1"/>
  <c r="L12" i="9" s="1"/>
  <c r="I13" i="9"/>
  <c r="Q12" i="9"/>
  <c r="E139" i="28" l="1"/>
  <c r="F12" i="18" l="1"/>
  <c r="D86" i="28" l="1"/>
  <c r="E118" i="28"/>
  <c r="E70" i="28"/>
  <c r="J10" i="9" l="1"/>
  <c r="E126" i="28"/>
  <c r="G126" i="28" s="1"/>
  <c r="E114" i="28"/>
  <c r="K10" i="9" l="1"/>
  <c r="L10" i="9" s="1"/>
  <c r="H205" i="2"/>
  <c r="E100" i="28" s="1"/>
  <c r="J13" i="9"/>
  <c r="F363" i="2"/>
  <c r="E148" i="28"/>
  <c r="E106" i="28"/>
  <c r="G106" i="28" s="1"/>
  <c r="E137" i="28"/>
  <c r="G137" i="28" s="1"/>
  <c r="E144" i="28"/>
  <c r="L13" i="9" l="1"/>
  <c r="N9" i="9"/>
  <c r="K13" i="9"/>
  <c r="P9" i="9"/>
  <c r="Q9" i="9" s="1"/>
  <c r="F9" i="18" l="1"/>
  <c r="E101" i="28" l="1"/>
  <c r="G101" i="28" s="1"/>
  <c r="P10" i="9"/>
  <c r="H80" i="2"/>
  <c r="J201" i="2" l="1"/>
  <c r="F16" i="28" l="1"/>
  <c r="G16" i="28" s="1"/>
  <c r="Q10" i="9"/>
  <c r="E141" i="28"/>
  <c r="G141" i="28" s="1"/>
  <c r="F11" i="18" l="1"/>
  <c r="F13" i="18" s="1"/>
  <c r="J371" i="2"/>
  <c r="M371" i="2" s="1"/>
  <c r="G112" i="28" l="1"/>
  <c r="E95" i="28"/>
  <c r="G95" i="28" s="1"/>
  <c r="J184" i="2" l="1"/>
  <c r="F13" i="28" s="1"/>
  <c r="E135" i="28" l="1"/>
  <c r="G123" i="28"/>
  <c r="G13" i="28" l="1"/>
  <c r="G16" i="153" s="1"/>
  <c r="E145" i="28"/>
  <c r="J14" i="2" l="1"/>
  <c r="F65" i="28" s="1"/>
  <c r="F35" i="28" l="1"/>
  <c r="E142" i="28" l="1"/>
  <c r="E92" i="28"/>
  <c r="E39" i="28" l="1"/>
  <c r="G102" i="28" l="1"/>
  <c r="G96" i="28"/>
  <c r="E91" i="28" l="1"/>
  <c r="F39" i="28" l="1"/>
  <c r="F144" i="2"/>
  <c r="F78" i="28" l="1"/>
  <c r="E78" i="28"/>
  <c r="D8" i="28"/>
  <c r="G78" i="28" l="1"/>
  <c r="F298" i="2"/>
  <c r="H202" i="2"/>
  <c r="J202" i="2" l="1"/>
  <c r="K202" i="2" s="1"/>
  <c r="E98" i="28" l="1"/>
  <c r="J121" i="2"/>
  <c r="J122" i="2" s="1"/>
  <c r="H122" i="2"/>
  <c r="K122" i="2" l="1"/>
  <c r="E94" i="28" l="1"/>
  <c r="G94" i="28" s="1"/>
  <c r="H74" i="2" l="1"/>
  <c r="J73" i="2"/>
  <c r="J74" i="2" s="1"/>
  <c r="J207" i="2" l="1"/>
  <c r="K74" i="2"/>
  <c r="E8" i="28"/>
  <c r="J26" i="2"/>
  <c r="G100" i="28" l="1"/>
  <c r="H45" i="2"/>
  <c r="H68" i="2"/>
  <c r="J67" i="2"/>
  <c r="J68" i="2" s="1"/>
  <c r="F125" i="2"/>
  <c r="H62" i="2"/>
  <c r="J61" i="2"/>
  <c r="J62" i="2" s="1"/>
  <c r="H86" i="2"/>
  <c r="J85" i="2"/>
  <c r="J86" i="2" s="1"/>
  <c r="J79" i="2"/>
  <c r="J45" i="2" l="1"/>
  <c r="K45" i="2" s="1"/>
  <c r="K86" i="2"/>
  <c r="K62" i="2"/>
  <c r="K68" i="2"/>
  <c r="J80" i="2"/>
  <c r="K80" i="2" s="1"/>
  <c r="E128" i="28" l="1"/>
  <c r="E108" i="28"/>
  <c r="G108" i="28" s="1"/>
  <c r="E125" i="28"/>
  <c r="G125" i="28" s="1"/>
  <c r="K371" i="2" l="1"/>
  <c r="E103" i="28"/>
  <c r="F103" i="28"/>
  <c r="G103" i="28" l="1"/>
  <c r="F392" i="2" l="1"/>
  <c r="H427" i="2"/>
  <c r="E24" i="28"/>
  <c r="H417" i="2" l="1"/>
  <c r="E111" i="28" l="1"/>
  <c r="E115" i="28"/>
  <c r="E116" i="28"/>
  <c r="G116" i="28" s="1"/>
  <c r="G128" i="28"/>
  <c r="Q13" i="9" l="1"/>
  <c r="P13" i="9"/>
  <c r="G149" i="28"/>
  <c r="E60" i="28" l="1"/>
  <c r="H222" i="2"/>
  <c r="H185" i="2"/>
  <c r="H179" i="2"/>
  <c r="H98" i="2"/>
  <c r="H92" i="2"/>
  <c r="H39" i="2"/>
  <c r="H9" i="2"/>
  <c r="H208" i="2"/>
  <c r="J8" i="2"/>
  <c r="F61" i="28" s="1"/>
  <c r="E22" i="28"/>
  <c r="L18" i="28" s="1"/>
  <c r="H173" i="2" l="1"/>
  <c r="E110" i="28" l="1"/>
  <c r="J214" i="2" l="1"/>
  <c r="E138" i="28" l="1"/>
  <c r="G138" i="28" s="1"/>
  <c r="H20" i="125" l="1"/>
  <c r="H23" i="125" s="1"/>
  <c r="H25" i="125" s="1"/>
  <c r="E121" i="28" l="1"/>
  <c r="E133" i="28" l="1"/>
  <c r="G133" i="28" s="1"/>
  <c r="H225" i="2" l="1"/>
  <c r="E150" i="28" s="1"/>
  <c r="J221" i="2"/>
  <c r="F37" i="28" s="1"/>
  <c r="J271" i="2"/>
  <c r="E36" i="28"/>
  <c r="D36" i="28"/>
  <c r="F27" i="28"/>
  <c r="E27" i="28"/>
  <c r="G28" i="28"/>
  <c r="G27" i="28" s="1"/>
  <c r="D27" i="28"/>
  <c r="F36" i="28" l="1"/>
  <c r="J185" i="2"/>
  <c r="K185" i="2" s="1"/>
  <c r="J233" i="2"/>
  <c r="I20" i="125"/>
  <c r="G37" i="28" l="1"/>
  <c r="G36" i="28" s="1"/>
  <c r="I21" i="125"/>
  <c r="H233" i="2"/>
  <c r="F29" i="28"/>
  <c r="H29" i="28" s="1"/>
  <c r="H36" i="28" l="1"/>
  <c r="J37" i="28" s="1"/>
  <c r="H27" i="28"/>
  <c r="G22" i="153" s="1"/>
  <c r="K233" i="2"/>
  <c r="M233" i="2"/>
  <c r="J39" i="2"/>
  <c r="K39" i="2" s="1"/>
  <c r="G46" i="28" l="1"/>
  <c r="G48" i="28"/>
  <c r="F88" i="28"/>
  <c r="J417" i="2" l="1"/>
  <c r="K417" i="2" l="1"/>
  <c r="M417" i="2"/>
  <c r="C20" i="125"/>
  <c r="M20" i="125"/>
  <c r="M23" i="125" s="1"/>
  <c r="H284" i="2" l="1"/>
  <c r="J284" i="2"/>
  <c r="K284" i="2" l="1"/>
  <c r="F151" i="28" l="1"/>
  <c r="G19" i="28" l="1"/>
  <c r="F124" i="28"/>
  <c r="F98" i="28"/>
  <c r="G98" i="28" s="1"/>
  <c r="J27" i="2" l="1"/>
  <c r="E146" i="28"/>
  <c r="G146" i="28" s="1"/>
  <c r="E109" i="28" l="1"/>
  <c r="G109" i="28" s="1"/>
  <c r="H216" i="2" l="1"/>
  <c r="J215" i="2"/>
  <c r="D67" i="28"/>
  <c r="D127" i="28"/>
  <c r="J216" i="2" l="1"/>
  <c r="K216" i="2" s="1"/>
  <c r="F17" i="28"/>
  <c r="G17" i="28" s="1"/>
  <c r="H18" i="28" s="1"/>
  <c r="D66" i="28"/>
  <c r="D158" i="28" s="1"/>
  <c r="E120" i="28"/>
  <c r="J20" i="2" l="1"/>
  <c r="F11" i="28" s="1"/>
  <c r="H51" i="2"/>
  <c r="J50" i="2"/>
  <c r="J33" i="2"/>
  <c r="E124" i="28"/>
  <c r="G124" i="28" s="1"/>
  <c r="E81" i="28"/>
  <c r="L21" i="28" l="1"/>
  <c r="G11" i="28"/>
  <c r="K11" i="28" s="1"/>
  <c r="K33" i="2"/>
  <c r="J51" i="2"/>
  <c r="K51" i="2" s="1"/>
  <c r="F287" i="2" l="1"/>
  <c r="G70" i="28"/>
  <c r="K260" i="2"/>
  <c r="F318" i="2" l="1"/>
  <c r="J266" i="2" l="1"/>
  <c r="J55" i="2" l="1"/>
  <c r="F12" i="28" s="1"/>
  <c r="J15" i="2"/>
  <c r="J91" i="2"/>
  <c r="D39" i="28"/>
  <c r="J115" i="2"/>
  <c r="J109" i="2"/>
  <c r="J103" i="2"/>
  <c r="G12" i="28" l="1"/>
  <c r="G17" i="153"/>
  <c r="D60" i="28"/>
  <c r="D157" i="28" s="1"/>
  <c r="D57" i="28"/>
  <c r="D156" i="28" s="1"/>
  <c r="D7" i="28"/>
  <c r="H278" i="2" l="1"/>
  <c r="D154" i="28" l="1"/>
  <c r="D159" i="28" s="1"/>
  <c r="G10" i="28"/>
  <c r="K278" i="2"/>
  <c r="F8" i="28" l="1"/>
  <c r="G24" i="28"/>
  <c r="G14" i="28" l="1"/>
  <c r="G25" i="28"/>
  <c r="F20" i="28"/>
  <c r="H27" i="2" l="1"/>
  <c r="K27" i="2" s="1"/>
  <c r="J222" i="2" l="1"/>
  <c r="M225" i="2" s="1"/>
  <c r="J173" i="2" l="1"/>
  <c r="K173" i="2" l="1"/>
  <c r="M173" i="2"/>
  <c r="J97" i="2"/>
  <c r="F62" i="28" s="1"/>
  <c r="F60" i="28" l="1"/>
  <c r="J272" i="2"/>
  <c r="K179" i="2" l="1"/>
  <c r="J460" i="2" l="1"/>
  <c r="F441" i="2"/>
  <c r="G22" i="28" l="1"/>
  <c r="E88" i="28"/>
  <c r="G88" i="28" l="1"/>
  <c r="E79" i="28"/>
  <c r="E136" i="28"/>
  <c r="G63" i="28" l="1"/>
  <c r="F294" i="2" l="1"/>
  <c r="J21" i="2" l="1"/>
  <c r="G65" i="28"/>
  <c r="F383" i="2" l="1"/>
  <c r="E132" i="28"/>
  <c r="E127" i="28" s="1"/>
  <c r="G132" i="28" l="1"/>
  <c r="G41" i="28"/>
  <c r="F334" i="2" l="1"/>
  <c r="G45" i="28"/>
  <c r="G39" i="153"/>
  <c r="G34" i="153"/>
  <c r="F339" i="2" l="1"/>
  <c r="F333" i="2" s="1"/>
  <c r="O11" i="125"/>
  <c r="H191" i="2" l="1"/>
  <c r="G53" i="28"/>
  <c r="K191" i="2" l="1"/>
  <c r="M191" i="2"/>
  <c r="H21" i="2"/>
  <c r="K21" i="2" s="1"/>
  <c r="H15" i="2"/>
  <c r="K15" i="2" l="1"/>
  <c r="J208" i="2"/>
  <c r="K208" i="2" l="1"/>
  <c r="M216" i="2"/>
  <c r="F148" i="28"/>
  <c r="F147" i="28"/>
  <c r="G147" i="28" s="1"/>
  <c r="F145" i="28"/>
  <c r="G145" i="28" s="1"/>
  <c r="F144" i="28"/>
  <c r="G144" i="28" s="1"/>
  <c r="F143" i="28"/>
  <c r="G143" i="28" s="1"/>
  <c r="G142" i="28"/>
  <c r="F140" i="28"/>
  <c r="G140" i="28" s="1"/>
  <c r="F139" i="28"/>
  <c r="G139" i="28" s="1"/>
  <c r="F136" i="28"/>
  <c r="G136" i="28" s="1"/>
  <c r="F135" i="28"/>
  <c r="G135" i="28" s="1"/>
  <c r="F134" i="28"/>
  <c r="G134" i="28" s="1"/>
  <c r="F131" i="28"/>
  <c r="G131" i="28" s="1"/>
  <c r="F130" i="28"/>
  <c r="G130" i="28" s="1"/>
  <c r="F129" i="28"/>
  <c r="G129" i="28" s="1"/>
  <c r="F122" i="28"/>
  <c r="G122" i="28" s="1"/>
  <c r="F121" i="28"/>
  <c r="G121" i="28" s="1"/>
  <c r="F120" i="28"/>
  <c r="G120" i="28" s="1"/>
  <c r="F119" i="28"/>
  <c r="G119" i="28" s="1"/>
  <c r="F118" i="28"/>
  <c r="G118" i="28" s="1"/>
  <c r="F117" i="28"/>
  <c r="F115" i="28"/>
  <c r="G115" i="28" s="1"/>
  <c r="F114" i="28"/>
  <c r="G114" i="28" s="1"/>
  <c r="F113" i="28"/>
  <c r="G113" i="28" s="1"/>
  <c r="F111" i="28"/>
  <c r="G111" i="28" s="1"/>
  <c r="F110" i="28"/>
  <c r="G110" i="28" s="1"/>
  <c r="F107" i="28"/>
  <c r="G107" i="28" s="1"/>
  <c r="F105" i="28"/>
  <c r="G105" i="28" s="1"/>
  <c r="F104" i="28"/>
  <c r="G104" i="28" s="1"/>
  <c r="F97" i="28"/>
  <c r="G97" i="28" s="1"/>
  <c r="F92" i="28"/>
  <c r="G92" i="28" s="1"/>
  <c r="F91" i="28"/>
  <c r="G91" i="28" s="1"/>
  <c r="F90" i="28"/>
  <c r="F89" i="28"/>
  <c r="F87" i="28"/>
  <c r="G87" i="28" s="1"/>
  <c r="F85" i="28"/>
  <c r="F84" i="28"/>
  <c r="F83" i="28"/>
  <c r="F82" i="28"/>
  <c r="F81" i="28"/>
  <c r="G81" i="28" s="1"/>
  <c r="F80" i="28"/>
  <c r="G80" i="28" s="1"/>
  <c r="F79" i="28"/>
  <c r="G79" i="28" s="1"/>
  <c r="F77" i="28"/>
  <c r="F75" i="28"/>
  <c r="F74" i="28"/>
  <c r="F73" i="28"/>
  <c r="F72" i="28"/>
  <c r="F71" i="28"/>
  <c r="L20" i="125"/>
  <c r="F127" i="28" l="1"/>
  <c r="F86" i="28"/>
  <c r="F67" i="28"/>
  <c r="K8" i="125"/>
  <c r="K9" i="125" s="1"/>
  <c r="K10" i="125" s="1"/>
  <c r="K11" i="125" s="1"/>
  <c r="K12" i="125" s="1"/>
  <c r="K13" i="125" s="1"/>
  <c r="K14" i="125" s="1"/>
  <c r="K15" i="125" s="1"/>
  <c r="K16" i="125" s="1"/>
  <c r="G20" i="125"/>
  <c r="D20" i="125"/>
  <c r="C22" i="125" s="1"/>
  <c r="C25" i="125" s="1"/>
  <c r="E20" i="125" l="1"/>
  <c r="F66" i="28"/>
  <c r="K17" i="125"/>
  <c r="K18" i="125" s="1"/>
  <c r="K19" i="125" s="1"/>
  <c r="D23" i="125" l="1"/>
  <c r="D24" i="125" s="1"/>
  <c r="F22" i="125"/>
  <c r="F24" i="125" s="1"/>
  <c r="G40" i="28"/>
  <c r="E77" i="28" l="1"/>
  <c r="G77" i="28" s="1"/>
  <c r="D52" i="28"/>
  <c r="D38" i="28" s="1"/>
  <c r="D155" i="28" s="1"/>
  <c r="D160" i="28" s="1"/>
  <c r="D59" i="28" l="1"/>
  <c r="D152" i="28" s="1"/>
  <c r="G62" i="28" l="1"/>
  <c r="D161" i="28" l="1"/>
  <c r="E57" i="28"/>
  <c r="J92" i="2" l="1"/>
  <c r="K92" i="2" s="1"/>
  <c r="G73" i="28"/>
  <c r="E68" i="28"/>
  <c r="G68" i="28" l="1"/>
  <c r="J9" i="2"/>
  <c r="F296" i="2"/>
  <c r="E72" i="28"/>
  <c r="G72" i="28" s="1"/>
  <c r="K9" i="2" l="1"/>
  <c r="E117" i="28"/>
  <c r="G117" i="28" s="1"/>
  <c r="E52" i="28"/>
  <c r="E38" i="28" s="1"/>
  <c r="E59" i="28" s="1"/>
  <c r="G55" i="28" l="1"/>
  <c r="G56" i="28"/>
  <c r="G58" i="28"/>
  <c r="G57" i="28" s="1"/>
  <c r="G156" i="28" s="1"/>
  <c r="E71" i="28" l="1"/>
  <c r="G71" i="28" s="1"/>
  <c r="E26" i="28" l="1"/>
  <c r="E20" i="28" s="1"/>
  <c r="G26" i="28" l="1"/>
  <c r="G148" i="28" l="1"/>
  <c r="G127" i="28" s="1"/>
  <c r="F54" i="28"/>
  <c r="G54" i="28" s="1"/>
  <c r="G52" i="28" s="1"/>
  <c r="E82" i="28" l="1"/>
  <c r="G82" i="28" s="1"/>
  <c r="E74" i="28"/>
  <c r="G74" i="28" s="1"/>
  <c r="J110" i="2" l="1"/>
  <c r="E93" i="28" l="1"/>
  <c r="G93" i="28" s="1"/>
  <c r="E90" i="28" l="1"/>
  <c r="G90" i="28" s="1"/>
  <c r="H272" i="2" l="1"/>
  <c r="K272" i="2" s="1"/>
  <c r="G150" i="28" l="1"/>
  <c r="G64" i="28"/>
  <c r="G42" i="28" l="1"/>
  <c r="G44" i="28"/>
  <c r="G61" i="28"/>
  <c r="G60" i="28" s="1"/>
  <c r="G157" i="28" s="1"/>
  <c r="G39" i="28" l="1"/>
  <c r="G33" i="153" s="1"/>
  <c r="E99" i="28"/>
  <c r="G99" i="28" s="1"/>
  <c r="E89" i="28"/>
  <c r="E75" i="28"/>
  <c r="G75" i="28" s="1"/>
  <c r="G69" i="28" l="1"/>
  <c r="G89" i="28"/>
  <c r="G86" i="28" s="1"/>
  <c r="E86" i="28"/>
  <c r="G35" i="153"/>
  <c r="G43" i="153"/>
  <c r="G38" i="28"/>
  <c r="G45" i="153" l="1"/>
  <c r="G59" i="28"/>
  <c r="G155" i="28"/>
  <c r="G160" i="28" s="1"/>
  <c r="G9" i="28" l="1"/>
  <c r="E85" i="28"/>
  <c r="G85" i="28" s="1"/>
  <c r="E84" i="28"/>
  <c r="G84" i="28" l="1"/>
  <c r="F352" i="2" l="1"/>
  <c r="F375" i="2" l="1"/>
  <c r="H266" i="2" l="1"/>
  <c r="K266" i="2" s="1"/>
  <c r="G23" i="28" l="1"/>
  <c r="F57" i="28" l="1"/>
  <c r="F52" i="28" l="1"/>
  <c r="F38" i="28" s="1"/>
  <c r="F59" i="28" s="1"/>
  <c r="F455" i="2" l="1"/>
  <c r="F453" i="2"/>
  <c r="F451" i="2"/>
  <c r="F449" i="2"/>
  <c r="F446" i="2"/>
  <c r="F445" i="2" s="1"/>
  <c r="F443" i="2"/>
  <c r="F440" i="2" s="1"/>
  <c r="F438" i="2"/>
  <c r="F432" i="2"/>
  <c r="F434" i="2"/>
  <c r="F345" i="2"/>
  <c r="F323" i="2"/>
  <c r="F341" i="2"/>
  <c r="F448" i="2" l="1"/>
  <c r="F302" i="2"/>
  <c r="F436" i="2"/>
  <c r="F431" i="2" s="1"/>
  <c r="F430" i="2" l="1"/>
  <c r="E151" i="28" l="1"/>
  <c r="H460" i="2"/>
  <c r="K460" i="2" s="1"/>
  <c r="G151" i="28" l="1"/>
  <c r="F166" i="2" l="1"/>
  <c r="G15" i="153" l="1"/>
  <c r="J427" i="2"/>
  <c r="K427" i="2" s="1"/>
  <c r="F397" i="2"/>
  <c r="F390" i="2"/>
  <c r="F388" i="2"/>
  <c r="F330" i="2"/>
  <c r="F327" i="2"/>
  <c r="F317" i="2" l="1"/>
  <c r="F380" i="2"/>
  <c r="F374" i="2" l="1"/>
  <c r="E29" i="28" l="1"/>
  <c r="E7" i="28" s="1"/>
  <c r="G14" i="153" l="1"/>
  <c r="G18" i="153" s="1"/>
  <c r="J116" i="2" l="1"/>
  <c r="H116" i="2"/>
  <c r="J104" i="2"/>
  <c r="H104" i="2"/>
  <c r="H110" i="2"/>
  <c r="K110" i="2" s="1"/>
  <c r="K116" i="2" l="1"/>
  <c r="K104" i="2"/>
  <c r="J98" i="2"/>
  <c r="K98" i="2" s="1"/>
  <c r="G27" i="153" l="1"/>
  <c r="G20" i="28" l="1"/>
  <c r="J19" i="28" s="1"/>
  <c r="L19" i="28" s="1"/>
  <c r="J18" i="28" l="1"/>
  <c r="H56" i="2"/>
  <c r="J56" i="2"/>
  <c r="K56" i="2" l="1"/>
  <c r="C15" i="35"/>
  <c r="C18" i="35" s="1"/>
  <c r="G31" i="28" l="1"/>
  <c r="J22" i="28" s="1"/>
  <c r="L22" i="28" s="1"/>
  <c r="G32" i="28"/>
  <c r="J23" i="28" s="1"/>
  <c r="G33" i="28"/>
  <c r="J24" i="28" s="1"/>
  <c r="L24" i="28" s="1"/>
  <c r="G34" i="28"/>
  <c r="J25" i="28" s="1"/>
  <c r="L25" i="28" s="1"/>
  <c r="G35" i="28"/>
  <c r="L23" i="28" l="1"/>
  <c r="J26" i="28"/>
  <c r="L26" i="28" s="1"/>
  <c r="G29" i="28"/>
  <c r="J29" i="28" s="1"/>
  <c r="J30" i="28" s="1"/>
  <c r="J27" i="28" l="1"/>
  <c r="H20" i="28"/>
  <c r="K28" i="28"/>
  <c r="G21" i="153"/>
  <c r="G23" i="153" s="1"/>
  <c r="F13" i="17"/>
  <c r="K20" i="28" l="1"/>
  <c r="H21" i="28"/>
  <c r="G29" i="153"/>
  <c r="I45" i="153" s="1"/>
  <c r="J314" i="2"/>
  <c r="J462" i="2" s="1"/>
  <c r="M243" i="2" l="1"/>
  <c r="K243" i="2" l="1"/>
  <c r="F7" i="28"/>
  <c r="F152" i="28" s="1"/>
  <c r="H11" i="28" l="1"/>
  <c r="G8" i="28"/>
  <c r="G7" i="28" s="1"/>
  <c r="G154" i="28" s="1"/>
  <c r="H314" i="2"/>
  <c r="H462" i="2" s="1"/>
  <c r="E154" i="28" s="1"/>
  <c r="F155" i="28" s="1"/>
  <c r="E83" i="28" l="1"/>
  <c r="E67" i="28" s="1"/>
  <c r="E66" i="28" s="1"/>
  <c r="F307" i="2"/>
  <c r="F286" i="2" s="1"/>
  <c r="M314" i="2"/>
  <c r="K314" i="2"/>
  <c r="G83" i="28" l="1"/>
  <c r="G67" i="28" s="1"/>
  <c r="G66" i="28" s="1"/>
  <c r="G152" i="28" s="1"/>
  <c r="H66" i="28"/>
  <c r="E152" i="28"/>
  <c r="K462" i="2"/>
  <c r="M462" i="2"/>
  <c r="G158" i="28" l="1"/>
  <c r="G159" i="28" s="1"/>
  <c r="G161" i="28" s="1"/>
  <c r="E15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CABREU</author>
  </authors>
  <commentList>
    <comment ref="H8" authorId="0" shapeId="0" xr:uid="{F2F0F9E6-542D-42B7-AC36-48738E0C8318}">
      <text>
        <r>
          <rPr>
            <b/>
            <sz val="9"/>
            <color indexed="81"/>
            <rFont val="Tahoma"/>
            <family val="2"/>
          </rPr>
          <t>CABREU:</t>
        </r>
        <r>
          <rPr>
            <sz val="9"/>
            <color indexed="81"/>
            <rFont val="Tahoma"/>
            <family val="2"/>
          </rPr>
          <t xml:space="preserve">
Fact 2026-001 NCF B1500000244 d/f 16/01/2026 a INDOCAL POR RD$30,000.00
Fact 2026-002 NCF B0100000158 d/f 16/01/2026 a Centro de Innovación Atabey RD$43,494.00</t>
        </r>
      </text>
    </comment>
    <comment ref="I8" authorId="0" shapeId="0" xr:uid="{1445D8A9-23A3-462E-A620-74EC03BC8C75}">
      <text>
        <r>
          <rPr>
            <b/>
            <sz val="9"/>
            <color indexed="81"/>
            <rFont val="Tahoma"/>
            <family val="2"/>
          </rPr>
          <t>CABREU:</t>
        </r>
        <r>
          <rPr>
            <sz val="9"/>
            <color indexed="81"/>
            <rFont val="Tahoma"/>
            <family val="2"/>
          </rPr>
          <t xml:space="preserve">
RC 2026-001 d/f 22/01/2026 por cobro fact B0100000158 d/f 16/01/2026 a Centro de Innovación Atabey</t>
        </r>
      </text>
    </comment>
    <comment ref="M8" authorId="0" shapeId="0" xr:uid="{4C9748DB-E4CF-4834-9419-D5A83749A4B7}">
      <text>
        <r>
          <rPr>
            <b/>
            <sz val="9"/>
            <color indexed="81"/>
            <rFont val="Tahoma"/>
            <family val="2"/>
          </rPr>
          <t>CABREU:</t>
        </r>
        <r>
          <rPr>
            <sz val="9"/>
            <color indexed="81"/>
            <rFont val="Tahoma"/>
            <family val="2"/>
          </rPr>
          <t xml:space="preserve">
Reembolso de la Tss por subsidios de maternidad de las Sras. Maria Delgado RD$33,000.00 y Diomairys Soto RD$36,000.00</t>
        </r>
      </text>
    </comment>
    <comment ref="H9" authorId="0" shapeId="0" xr:uid="{7D900AB8-692F-4551-94C3-B547F3F43815}">
      <text>
        <r>
          <rPr>
            <b/>
            <sz val="9"/>
            <color indexed="81"/>
            <rFont val="Tahoma"/>
            <family val="2"/>
          </rPr>
          <t>CABREU:</t>
        </r>
        <r>
          <rPr>
            <sz val="9"/>
            <color indexed="81"/>
            <rFont val="Tahoma"/>
            <family val="2"/>
          </rPr>
          <t xml:space="preserve">
Fact 2026-003 NCF B0100000159 a Sostenibilidad 3RS&amp;ES, SRL.</t>
        </r>
      </text>
    </comment>
    <comment ref="I9" authorId="0" shapeId="0" xr:uid="{98A12426-EAD3-49BC-8565-119A5B8439BF}">
      <text>
        <r>
          <rPr>
            <b/>
            <sz val="9"/>
            <color indexed="81"/>
            <rFont val="Tahoma"/>
            <family val="2"/>
          </rPr>
          <t>CABREU:</t>
        </r>
        <r>
          <rPr>
            <sz val="9"/>
            <color indexed="81"/>
            <rFont val="Tahoma"/>
            <family val="2"/>
          </rPr>
          <t xml:space="preserve">
RC2026-002 d/f 17/2/2026 por cobro fact B1400000002 d/f 04/12/2026 a Maritima Dominicana, SRL.</t>
        </r>
      </text>
    </comment>
    <comment ref="L9" authorId="0" shapeId="0" xr:uid="{63C7A4E6-6219-4ADE-9FB9-B562BF292F4A}">
      <text>
        <r>
          <rPr>
            <b/>
            <sz val="9"/>
            <color indexed="81"/>
            <rFont val="Tahoma"/>
            <family val="2"/>
          </rPr>
          <t>CABREU:</t>
        </r>
        <r>
          <rPr>
            <sz val="9"/>
            <color indexed="81"/>
            <rFont val="Tahoma"/>
            <family val="2"/>
          </rPr>
          <t xml:space="preserve">
Ingresos por Diferencias Positivas Cambiarias por los pagos de la Membresias con los Libramientos Nos. 73 y 77</t>
        </r>
      </text>
    </comment>
    <comment ref="M9" authorId="0" shapeId="0" xr:uid="{3345BB92-661B-45F3-8685-DAAE217950CC}">
      <text>
        <r>
          <rPr>
            <b/>
            <sz val="9"/>
            <color indexed="81"/>
            <rFont val="Tahoma"/>
            <family val="2"/>
          </rPr>
          <t>CABREU:</t>
        </r>
        <r>
          <rPr>
            <sz val="9"/>
            <color indexed="81"/>
            <rFont val="Tahoma"/>
            <family val="2"/>
          </rPr>
          <t xml:space="preserve">
Reembolso de la Tss por subsidios de maternidad de las Sras. Maria Delgado RD$33,000.00 y Diomairys Soto RD$36,000.00</t>
        </r>
      </text>
    </comment>
    <comment ref="H10" authorId="0" shapeId="0" xr:uid="{5FEF561C-79BD-4CBD-B192-19EA049B7FA9}">
      <text>
        <r>
          <rPr>
            <b/>
            <sz val="9"/>
            <color indexed="81"/>
            <rFont val="Tahoma"/>
            <family val="2"/>
          </rPr>
          <t>CABREU:</t>
        </r>
        <r>
          <rPr>
            <sz val="9"/>
            <color indexed="81"/>
            <rFont val="Tahoma"/>
            <family val="2"/>
          </rPr>
          <t xml:space="preserve">
Fact 2026-004 NCF B0100000160 a TDP DOMINICANA</t>
        </r>
      </text>
    </comment>
    <comment ref="I10" authorId="0" shapeId="0" xr:uid="{6ACBBA39-2BF6-4E00-AD42-FD4C05D85BA0}">
      <text>
        <r>
          <rPr>
            <b/>
            <sz val="9"/>
            <color indexed="81"/>
            <rFont val="Tahoma"/>
            <family val="2"/>
          </rPr>
          <t>CABREU:</t>
        </r>
        <r>
          <rPr>
            <sz val="9"/>
            <color indexed="81"/>
            <rFont val="Tahoma"/>
            <family val="2"/>
          </rPr>
          <t xml:space="preserve">
RC2026-003 d/f 12/3/2026 por cobro fact B0100000160 d/f 04/03/2026 a TDP Dominicana
RC2026-004 d/f 18/3/2026 por cobro fact B1500000244 d/f 16/01/2026 a INDOCAL
RC2026-005 d/f 19/3/2026 por cobro fact B0100000157 d/f 02/02/2026 a 3RS&amp;ES, SRL.</t>
        </r>
      </text>
    </comment>
    <comment ref="G21" authorId="0" shapeId="0" xr:uid="{9F17AF67-05FE-4609-A280-8A49A511E861}">
      <text>
        <r>
          <rPr>
            <b/>
            <sz val="9"/>
            <color indexed="81"/>
            <rFont val="Tahoma"/>
            <family val="2"/>
          </rPr>
          <t>CABREU:</t>
        </r>
        <r>
          <rPr>
            <sz val="9"/>
            <color indexed="81"/>
            <rFont val="Tahoma"/>
            <family val="2"/>
          </rPr>
          <t xml:space="preserve">
Transferencias recibidas</t>
        </r>
      </text>
    </comment>
  </commentList>
</comments>
</file>

<file path=xl/sharedStrings.xml><?xml version="1.0" encoding="utf-8"?>
<sst xmlns="http://schemas.openxmlformats.org/spreadsheetml/2006/main" count="1840" uniqueCount="989">
  <si>
    <t xml:space="preserve"> </t>
  </si>
  <si>
    <t>Patrimonio</t>
  </si>
  <si>
    <t>Cuentas por pagar</t>
  </si>
  <si>
    <t>Mobiliarios y equipos</t>
  </si>
  <si>
    <t>Otros activos financieros</t>
  </si>
  <si>
    <t>Anticipo proveedores</t>
  </si>
  <si>
    <t>Inventario</t>
  </si>
  <si>
    <t xml:space="preserve">Cuenta colectora </t>
  </si>
  <si>
    <t>Cuenta Banreservas No. 3140000644</t>
  </si>
  <si>
    <t>Balance</t>
  </si>
  <si>
    <t>Credito</t>
  </si>
  <si>
    <t>Detalle</t>
  </si>
  <si>
    <t>ORGANISMO DOMINICANO DE ACREDITACION (ODAC)</t>
  </si>
  <si>
    <t>Item</t>
  </si>
  <si>
    <t>Cuenta</t>
  </si>
  <si>
    <t xml:space="preserve">Debito </t>
  </si>
  <si>
    <t>Cuenta CUT</t>
  </si>
  <si>
    <t>@</t>
  </si>
  <si>
    <t xml:space="preserve">Ingresos del periodo </t>
  </si>
  <si>
    <t>Banco de Reservas</t>
  </si>
  <si>
    <t>2244-01</t>
  </si>
  <si>
    <t>2292-01</t>
  </si>
  <si>
    <t>Sueldos</t>
  </si>
  <si>
    <t>Contibuciones a la seguridad social</t>
  </si>
  <si>
    <t>Cuenta Cut</t>
  </si>
  <si>
    <t>Alimentos y bebidas para personas</t>
  </si>
  <si>
    <t xml:space="preserve">TOTAL </t>
  </si>
  <si>
    <t>Retenciones del 5%</t>
  </si>
  <si>
    <t xml:space="preserve">Transferencias y donaciones </t>
  </si>
  <si>
    <t xml:space="preserve">Gastos </t>
  </si>
  <si>
    <t xml:space="preserve">Suministros y material para consumo </t>
  </si>
  <si>
    <t xml:space="preserve">Otros gastos </t>
  </si>
  <si>
    <t>2272-06</t>
  </si>
  <si>
    <t>Energia eléctrica</t>
  </si>
  <si>
    <t>Alquileres de equipo computacional</t>
  </si>
  <si>
    <t>Enero</t>
  </si>
  <si>
    <t>Febrero</t>
  </si>
  <si>
    <t>Marzo</t>
  </si>
  <si>
    <t>Abril</t>
  </si>
  <si>
    <t>Mayo</t>
  </si>
  <si>
    <t>Junio</t>
  </si>
  <si>
    <t>Julio</t>
  </si>
  <si>
    <t>Agosto</t>
  </si>
  <si>
    <t>Septiembre</t>
  </si>
  <si>
    <t>Octubre</t>
  </si>
  <si>
    <t>Noviembre</t>
  </si>
  <si>
    <t>Diciembre</t>
  </si>
  <si>
    <t>TABLA DE AMORTIZACION DE LAS PRIMAS DE SEGUROS</t>
  </si>
  <si>
    <t>Fecha de</t>
  </si>
  <si>
    <t>Compañía aseguradora</t>
  </si>
  <si>
    <t>Póliza No.</t>
  </si>
  <si>
    <t xml:space="preserve">Vigencia </t>
  </si>
  <si>
    <t xml:space="preserve">Meses </t>
  </si>
  <si>
    <t>Primas</t>
  </si>
  <si>
    <t>Activo asegurado</t>
  </si>
  <si>
    <t>Desde</t>
  </si>
  <si>
    <t>Hasta</t>
  </si>
  <si>
    <t>amortización</t>
  </si>
  <si>
    <t>Consumidos</t>
  </si>
  <si>
    <t>Pagada</t>
  </si>
  <si>
    <t>Consumida mensual</t>
  </si>
  <si>
    <t>Consumida total</t>
  </si>
  <si>
    <t>Vigente</t>
  </si>
  <si>
    <t>WORLDWIDE SEGUROS, S. A.</t>
  </si>
  <si>
    <t>2282-01</t>
  </si>
  <si>
    <t>Seguros de personas</t>
  </si>
  <si>
    <t>2311-01</t>
  </si>
  <si>
    <t>2391-01</t>
  </si>
  <si>
    <t>Cargos bancarios</t>
  </si>
  <si>
    <t>2392-01</t>
  </si>
  <si>
    <t>2395-01</t>
  </si>
  <si>
    <t>2399-01</t>
  </si>
  <si>
    <t>Nomina por pagar</t>
  </si>
  <si>
    <t>Otros pasivos corrientes</t>
  </si>
  <si>
    <t>Desc.</t>
  </si>
  <si>
    <t>Cuentas por cobrar</t>
  </si>
  <si>
    <t>Total</t>
  </si>
  <si>
    <t>TOTAL GENERAL</t>
  </si>
  <si>
    <t>2216-01</t>
  </si>
  <si>
    <t>2251-01</t>
  </si>
  <si>
    <t>2263-01</t>
  </si>
  <si>
    <t>Débito</t>
  </si>
  <si>
    <t>Crédito</t>
  </si>
  <si>
    <t>VALORES EN RD$</t>
  </si>
  <si>
    <t>Enc. De Contabilidad</t>
  </si>
  <si>
    <t>2222-01</t>
  </si>
  <si>
    <t xml:space="preserve">Total gastos </t>
  </si>
  <si>
    <t>Total ingresos</t>
  </si>
  <si>
    <t>Ingresos</t>
  </si>
  <si>
    <t>Pasivos</t>
  </si>
  <si>
    <t xml:space="preserve">Activos </t>
  </si>
  <si>
    <t xml:space="preserve">Cuentas por cobrar </t>
  </si>
  <si>
    <t>Adquisición de Seguro internacional al Director Ejecutivo</t>
  </si>
  <si>
    <t>ORGANISMO DOMINICANO DE ACREDITACION ODAC</t>
  </si>
  <si>
    <t>FIANZAS Y DEPOSITOS</t>
  </si>
  <si>
    <t>2398-01</t>
  </si>
  <si>
    <t>2253-02</t>
  </si>
  <si>
    <t>2396-01</t>
  </si>
  <si>
    <t xml:space="preserve">Total pasivo y  patrimonio </t>
  </si>
  <si>
    <t>Otros seguros</t>
  </si>
  <si>
    <t xml:space="preserve">Impresión y encuadernación </t>
  </si>
  <si>
    <t>Peajes</t>
  </si>
  <si>
    <t>Mantenimiento y reparación  equipo de transporte</t>
  </si>
  <si>
    <t>Útiles de escritorio enseñanza e informática</t>
  </si>
  <si>
    <t>Útiles de cocina</t>
  </si>
  <si>
    <t>Productos y útiles varios</t>
  </si>
  <si>
    <t>Otros repuestos y accesorios menores</t>
  </si>
  <si>
    <t>Otros servicios tecnicos profesionales</t>
  </si>
  <si>
    <t xml:space="preserve">ORGANISMO DOMINICANO DE ACREDITACION </t>
  </si>
  <si>
    <t xml:space="preserve">Bruto </t>
  </si>
  <si>
    <t>Total Pagado</t>
  </si>
  <si>
    <t>Lib. No.</t>
  </si>
  <si>
    <t>Proveedor</t>
  </si>
  <si>
    <t>Monto</t>
  </si>
  <si>
    <t>Pagos de meses anteriores</t>
  </si>
  <si>
    <t>2285-01</t>
  </si>
  <si>
    <t>Fumigación</t>
  </si>
  <si>
    <t>Viaticos</t>
  </si>
  <si>
    <t>2341-01</t>
  </si>
  <si>
    <t>2231-01</t>
  </si>
  <si>
    <t>Lavanderia</t>
  </si>
  <si>
    <t xml:space="preserve">Productos medicinales </t>
  </si>
  <si>
    <t>Material de limpieza</t>
  </si>
  <si>
    <t>2.1.1</t>
  </si>
  <si>
    <t>2.1.5</t>
  </si>
  <si>
    <t>Productos eléctricos</t>
  </si>
  <si>
    <t xml:space="preserve">Total </t>
  </si>
  <si>
    <t>FECHA</t>
  </si>
  <si>
    <t xml:space="preserve">PROVEEDOR </t>
  </si>
  <si>
    <t xml:space="preserve">MONTO </t>
  </si>
  <si>
    <t>CONCEPTO</t>
  </si>
  <si>
    <t>A010010011500002969</t>
  </si>
  <si>
    <t>ALOHA SOL</t>
  </si>
  <si>
    <t>Sueldos Fijos</t>
  </si>
  <si>
    <t>Sueldos al personal fijo en trámite de pensiones</t>
  </si>
  <si>
    <t>Compensación servicios de seguridad</t>
  </si>
  <si>
    <t>Gastos de representación en el país</t>
  </si>
  <si>
    <t>Servicios de Energia electrica</t>
  </si>
  <si>
    <t>Contribuciones al seguro de salud</t>
  </si>
  <si>
    <t>Contribucion al seguro de pensiones</t>
  </si>
  <si>
    <t xml:space="preserve">Contribucion al seguro  riesgos laboral </t>
  </si>
  <si>
    <t>Telefono local</t>
  </si>
  <si>
    <t>Servicios de internet y televisión por cable</t>
  </si>
  <si>
    <t>Viaticos dentro del pais</t>
  </si>
  <si>
    <t>Peaje</t>
  </si>
  <si>
    <t>Pasajes</t>
  </si>
  <si>
    <t>Alquileres y rentas de edicios y locales</t>
  </si>
  <si>
    <t>Otros alquileres</t>
  </si>
  <si>
    <t>Alquiler equipos de computos</t>
  </si>
  <si>
    <t>Seguros de bienes muebles</t>
  </si>
  <si>
    <t>Mantenimiento de equipos de transporte, traccion y elevacion</t>
  </si>
  <si>
    <t>Comisiones y gastos bancarios</t>
  </si>
  <si>
    <t>Servicios de alimentacion</t>
  </si>
  <si>
    <t xml:space="preserve">Gasolina </t>
  </si>
  <si>
    <t>Marterial de limpieza</t>
  </si>
  <si>
    <t>Utiles de escritorio, oficina informatica y enseñanza</t>
  </si>
  <si>
    <t>Utiles de cocina y comedor</t>
  </si>
  <si>
    <t>Productos electricos y afines</t>
  </si>
  <si>
    <t>Productos y utiles varios n.i.p</t>
  </si>
  <si>
    <t>Productos medicinales para uso humano</t>
  </si>
  <si>
    <t>Retenciones por pagar codia</t>
  </si>
  <si>
    <t>Retencion de itbis 100%</t>
  </si>
  <si>
    <t>Proporcion de vacaciones no disfrutadas</t>
  </si>
  <si>
    <t>Indemnizacion por desvinculacion</t>
  </si>
  <si>
    <t>2272-08</t>
  </si>
  <si>
    <t>Servicios de mantenimiento, reparación, desmonte e instalación</t>
  </si>
  <si>
    <t>Equipo de transporte, traccion y elevacion</t>
  </si>
  <si>
    <t>Equipos de computacion</t>
  </si>
  <si>
    <t>Equipos varios</t>
  </si>
  <si>
    <t>Equipos de seguridad</t>
  </si>
  <si>
    <t>Equipos de comunicacion y señalamiento</t>
  </si>
  <si>
    <t>Depreciación acumulada</t>
  </si>
  <si>
    <t>Depre. Acum. Equipos de computacion</t>
  </si>
  <si>
    <t>Depre. Acum. Equipos y muebles para oficina</t>
  </si>
  <si>
    <t>Depre. Acum. Equipos varios</t>
  </si>
  <si>
    <t>Depre. Acum. Equipos de seguridad</t>
  </si>
  <si>
    <t xml:space="preserve">Servicios no personales </t>
  </si>
  <si>
    <t>2332-01</t>
  </si>
  <si>
    <t>Materiales y suministros</t>
  </si>
  <si>
    <t xml:space="preserve">Activo </t>
  </si>
  <si>
    <t>Pasivo</t>
  </si>
  <si>
    <t>Capital</t>
  </si>
  <si>
    <t>Gastos</t>
  </si>
  <si>
    <t>Gastos de depreciación</t>
  </si>
  <si>
    <t>Consumo de existencias de materiales y suministros</t>
  </si>
  <si>
    <t>2393-01</t>
  </si>
  <si>
    <t>2221-01</t>
  </si>
  <si>
    <t>2287-02</t>
  </si>
  <si>
    <t>Servicios juridicos</t>
  </si>
  <si>
    <t>Publicidad</t>
  </si>
  <si>
    <t>Productos de papel y cartón</t>
  </si>
  <si>
    <t>Materiales de limpieza</t>
  </si>
  <si>
    <t>Útiles de escritorio, oficina e informática</t>
  </si>
  <si>
    <t>Útiles menores médico quirúrgicos</t>
  </si>
  <si>
    <t>Útiles de cocina y comedor</t>
  </si>
  <si>
    <t>Repuestos</t>
  </si>
  <si>
    <t>Productos y Útiles Varios n.i.p</t>
  </si>
  <si>
    <t>Servicios funerarios y gastos conexos</t>
  </si>
  <si>
    <t>2284-01</t>
  </si>
  <si>
    <t>2213-01</t>
  </si>
  <si>
    <t>2215-01</t>
  </si>
  <si>
    <t xml:space="preserve">Servicios telefonicos </t>
  </si>
  <si>
    <t>Servicios internet</t>
  </si>
  <si>
    <t>2241-01</t>
  </si>
  <si>
    <t>Seguro Familiar de Salud</t>
  </si>
  <si>
    <t>Pensiones</t>
  </si>
  <si>
    <t xml:space="preserve">Riesgo Laboral </t>
  </si>
  <si>
    <t>Total Objeto 2.1</t>
  </si>
  <si>
    <t>2371-01</t>
  </si>
  <si>
    <t xml:space="preserve">Combustible </t>
  </si>
  <si>
    <t>2288-01</t>
  </si>
  <si>
    <t>Impuestos</t>
  </si>
  <si>
    <t>Impresión encuadernación y rotulación</t>
  </si>
  <si>
    <t>Diferencia</t>
  </si>
  <si>
    <t>No. FACTURA / NCF</t>
  </si>
  <si>
    <t xml:space="preserve">Activos corrientes </t>
  </si>
  <si>
    <t>CONSUMO DE CAJA CHICA POR REPONER</t>
  </si>
  <si>
    <t>Inventario inicial</t>
  </si>
  <si>
    <t>Compras</t>
  </si>
  <si>
    <t xml:space="preserve">Consumo </t>
  </si>
  <si>
    <t>Balance final</t>
  </si>
  <si>
    <t>Sub total</t>
  </si>
  <si>
    <t>Ajustes positivos</t>
  </si>
  <si>
    <t>Ajustes negativos</t>
  </si>
  <si>
    <t>Monto Ejecución Sigef</t>
  </si>
  <si>
    <t>Monto Doc. Físicos</t>
  </si>
  <si>
    <t>Servicios especiales de mantenimiento y reparación</t>
  </si>
  <si>
    <t>2291-01</t>
  </si>
  <si>
    <t>2353-01</t>
  </si>
  <si>
    <t>2287-04</t>
  </si>
  <si>
    <t>2.1.2.2.09</t>
  </si>
  <si>
    <t>Bono por Desempeño empleados de carrera</t>
  </si>
  <si>
    <t>Llantas y neumáticos</t>
  </si>
  <si>
    <t>Capacitación</t>
  </si>
  <si>
    <t>Otras contrataciones de servicios</t>
  </si>
  <si>
    <t>Bono por desempeño empleados de carrera</t>
  </si>
  <si>
    <t>2613-01</t>
  </si>
  <si>
    <t>Seguro bienes muebles</t>
  </si>
  <si>
    <t xml:space="preserve">Impresión encuadernación y rotulación </t>
  </si>
  <si>
    <t>2323-01</t>
  </si>
  <si>
    <t>Textil</t>
  </si>
  <si>
    <t>Equipos de tecnología de la información y comunicación</t>
  </si>
  <si>
    <t>2619-01</t>
  </si>
  <si>
    <t>Mantenimiento de equipos de computo</t>
  </si>
  <si>
    <t>Retenciones ISR 5%</t>
  </si>
  <si>
    <t>2683-01</t>
  </si>
  <si>
    <t>2232-01</t>
  </si>
  <si>
    <t>2655-01</t>
  </si>
  <si>
    <t>2399-05</t>
  </si>
  <si>
    <t>Otros mobiliarios y equipos no identificados precedentemente</t>
  </si>
  <si>
    <t>Equipo de comunicación, telecomunicaciones y señalización</t>
  </si>
  <si>
    <t>Programas de informática</t>
  </si>
  <si>
    <t xml:space="preserve">Total General </t>
  </si>
  <si>
    <t>Vacaciones no disfrutadas a ex empleados</t>
  </si>
  <si>
    <t>2623-01</t>
  </si>
  <si>
    <t>Cámaras fotográficas y de video</t>
  </si>
  <si>
    <t>Otras Cuentas por pagar</t>
  </si>
  <si>
    <t>Servicios internet (Plataforma de Correo)</t>
  </si>
  <si>
    <t xml:space="preserve">Depre. Acum. Equipo de transporte, traccion y elevacion </t>
  </si>
  <si>
    <t>2287-06</t>
  </si>
  <si>
    <t>2272-02</t>
  </si>
  <si>
    <t>2398-02</t>
  </si>
  <si>
    <t>Cuenta Colectora</t>
  </si>
  <si>
    <t>Prestaciones económicas</t>
  </si>
  <si>
    <t>2.1.1.5</t>
  </si>
  <si>
    <t>2.1.1.5.04</t>
  </si>
  <si>
    <t>2271-02</t>
  </si>
  <si>
    <t xml:space="preserve">2.1.1.1.01 </t>
  </si>
  <si>
    <t xml:space="preserve">2.1.1.2.08 </t>
  </si>
  <si>
    <t xml:space="preserve">2.1.2.2.05 </t>
  </si>
  <si>
    <t xml:space="preserve">2.1.3.2.01 </t>
  </si>
  <si>
    <t>Sueldos fijos</t>
  </si>
  <si>
    <t>Contribuciones al seguro de pensiones</t>
  </si>
  <si>
    <t>Contribuciones al seguro de riesgo laboral</t>
  </si>
  <si>
    <t xml:space="preserve">2.1.5.1.01 </t>
  </si>
  <si>
    <t xml:space="preserve">2.1.5.2.01 </t>
  </si>
  <si>
    <t>2.1.5.3.01</t>
  </si>
  <si>
    <t>2.1.2.2</t>
  </si>
  <si>
    <t xml:space="preserve">Compensación </t>
  </si>
  <si>
    <t>2.1.2.2.10</t>
  </si>
  <si>
    <t>Compensación por cumplimiento de indicadores</t>
  </si>
  <si>
    <t>2662-01</t>
  </si>
  <si>
    <t>2.1.1.4</t>
  </si>
  <si>
    <t>2.1.1.4.01</t>
  </si>
  <si>
    <t>Sueldo anual no.13</t>
  </si>
  <si>
    <t>2331-01</t>
  </si>
  <si>
    <t xml:space="preserve">Papel de escritorio </t>
  </si>
  <si>
    <t>2262-01</t>
  </si>
  <si>
    <t>Bono Cumplimiento de Indicadores</t>
  </si>
  <si>
    <t>Regalia Pascual (Sueldo 13)</t>
  </si>
  <si>
    <t>N/A</t>
  </si>
  <si>
    <t>2.1.2.2.15</t>
  </si>
  <si>
    <t>2313-01</t>
  </si>
  <si>
    <t>2287-05</t>
  </si>
  <si>
    <t>2271-06</t>
  </si>
  <si>
    <t>2286-01</t>
  </si>
  <si>
    <t>Viaticos al exterior</t>
  </si>
  <si>
    <t xml:space="preserve">Pasajes </t>
  </si>
  <si>
    <t xml:space="preserve">Peaje </t>
  </si>
  <si>
    <t>Eventos</t>
  </si>
  <si>
    <t xml:space="preserve">Compensación Extraordinaria Anual </t>
  </si>
  <si>
    <t>Plantas ornamentales</t>
  </si>
  <si>
    <t>Fondo</t>
  </si>
  <si>
    <t xml:space="preserve"> FACTURA No. (NCF GUBERNAMENTAL)</t>
  </si>
  <si>
    <t>FECHA FACTURA</t>
  </si>
  <si>
    <t xml:space="preserve">MONTO FACTURADO </t>
  </si>
  <si>
    <t>FECHA FIN FACTURA</t>
  </si>
  <si>
    <t>MONTO PAGADO A LA FECHA</t>
  </si>
  <si>
    <t>MONTO PENDIENTE</t>
  </si>
  <si>
    <t>ESTADO</t>
  </si>
  <si>
    <t>ATRASADO</t>
  </si>
  <si>
    <t>SOLICITUD TRANSFERENCIAS AL MIC</t>
  </si>
  <si>
    <t>TOTAL INGRESOS</t>
  </si>
  <si>
    <t>BALANCE</t>
  </si>
  <si>
    <t>SUELDOS Y SEGURIDAD</t>
  </si>
  <si>
    <t>GASTOS CORRIENTES</t>
  </si>
  <si>
    <t>INGRESOS MENSUALES</t>
  </si>
  <si>
    <t>SUB CTA, CUT</t>
  </si>
  <si>
    <t xml:space="preserve">LIBRO BANCO </t>
  </si>
  <si>
    <t>BANRESERVAS</t>
  </si>
  <si>
    <t>CUENTA BANCARIA No.  314-000064-4</t>
  </si>
  <si>
    <t>FONDO REPONIBLE INSTITUCIONAL (ANTICIPOS FINANCIEROS)</t>
  </si>
  <si>
    <t xml:space="preserve">          </t>
  </si>
  <si>
    <t>No. CHEQUE / TRANSFERENCIA</t>
  </si>
  <si>
    <t xml:space="preserve">DESCRIPCION </t>
  </si>
  <si>
    <t>DEBITO</t>
  </si>
  <si>
    <t>CREDITO</t>
  </si>
  <si>
    <t>Enc. Div. de Contabilidad</t>
  </si>
  <si>
    <t>RELACION DE INVENTARIO</t>
  </si>
  <si>
    <t>Empleado temporal</t>
  </si>
  <si>
    <t>2.2</t>
  </si>
  <si>
    <t>Mantenimiento  y  reparación  en  obras  de  dominio  público</t>
  </si>
  <si>
    <t xml:space="preserve">Mantenimiento y reparación de equipos de tecnología e información </t>
  </si>
  <si>
    <t>Servicios de informática y sistemas computarizados</t>
  </si>
  <si>
    <t>Accesorios</t>
  </si>
  <si>
    <t>Bonos para útiles diversos</t>
  </si>
  <si>
    <t>2399-02</t>
  </si>
  <si>
    <t>Productos y útiles diversos</t>
  </si>
  <si>
    <t>2258-01</t>
  </si>
  <si>
    <t>2.2.1</t>
  </si>
  <si>
    <t>Servicios Básicos</t>
  </si>
  <si>
    <t>2.2.2</t>
  </si>
  <si>
    <t>Publicidad, Impresión y Encuadernación</t>
  </si>
  <si>
    <t>2.2.3</t>
  </si>
  <si>
    <t>Viaticos dentro del país</t>
  </si>
  <si>
    <t>2.2.4</t>
  </si>
  <si>
    <t>2.2.5</t>
  </si>
  <si>
    <t>Transporte y Almacenaje</t>
  </si>
  <si>
    <t>Alquileres y Rentas</t>
  </si>
  <si>
    <t xml:space="preserve">Alquileres y rentas edificios y locales </t>
  </si>
  <si>
    <t>2.2.6</t>
  </si>
  <si>
    <t>Seguros</t>
  </si>
  <si>
    <t>2.2.7</t>
  </si>
  <si>
    <t>Servicios  De  Conservación,  Reparaciones  Menores  E  Instalaciones  Temporales</t>
  </si>
  <si>
    <t>2.2.8</t>
  </si>
  <si>
    <t>Mantenimiento de equipos de transporte</t>
  </si>
  <si>
    <t>Servicios No Incluidos En Conceptos Anteriores</t>
  </si>
  <si>
    <t>2.2.9</t>
  </si>
  <si>
    <t>Otras Contrataciones De Servicios</t>
  </si>
  <si>
    <t>2.3.1</t>
  </si>
  <si>
    <t>2.3.2</t>
  </si>
  <si>
    <t>2.3.4</t>
  </si>
  <si>
    <t>2.3.5</t>
  </si>
  <si>
    <t>2.3.7</t>
  </si>
  <si>
    <t>2.3.9</t>
  </si>
  <si>
    <t>Alimentos Y Productos Agroforestales</t>
  </si>
  <si>
    <t>Textiles Y Vestuarios</t>
  </si>
  <si>
    <t>2.3.3</t>
  </si>
  <si>
    <t>Papel, Cartón e Impresos</t>
  </si>
  <si>
    <t>Productos Farmacéuticos</t>
  </si>
  <si>
    <t>Cuero, Caucho y Plástico</t>
  </si>
  <si>
    <t>Combustibles, Lubricantes, Productos Químicos y  Conexos</t>
  </si>
  <si>
    <t>Productos y Útiles Varios</t>
  </si>
  <si>
    <t>2.4.7</t>
  </si>
  <si>
    <t>Transferencias Corrientes</t>
  </si>
  <si>
    <t>Transferencias Corrientes Al Sector Externo</t>
  </si>
  <si>
    <t>Transferencias corrientes a organismos internacionales</t>
  </si>
  <si>
    <t>2.4.7.2.01</t>
  </si>
  <si>
    <t>2.6.1</t>
  </si>
  <si>
    <t>Bienes Muebles, Inmuebles e Intangibles</t>
  </si>
  <si>
    <t>Mobiliario Y Equipo</t>
  </si>
  <si>
    <t>2.6.2</t>
  </si>
  <si>
    <t>Mobiliario Y Equipo De Audio, Audiovisual, Recreativo y Educacional</t>
  </si>
  <si>
    <t>2.6.5</t>
  </si>
  <si>
    <t>2.6.6</t>
  </si>
  <si>
    <t>Maquinaria, Otros Equipos y Herramientas</t>
  </si>
  <si>
    <t>Equipos De Defensa y Seguridad</t>
  </si>
  <si>
    <t>2.6.8</t>
  </si>
  <si>
    <t>Bienes Intangibles</t>
  </si>
  <si>
    <t>Empleados Temporales</t>
  </si>
  <si>
    <t>Remuneraciones y Contribuciones</t>
  </si>
  <si>
    <t>Eventos Generales</t>
  </si>
  <si>
    <t xml:space="preserve">Detalle </t>
  </si>
  <si>
    <t>Útiles menores médico quirúrgicos o de laboratorio</t>
  </si>
  <si>
    <t>Lavandería</t>
  </si>
  <si>
    <t>Total Balance Cuentas por Cobrar</t>
  </si>
  <si>
    <t>2611-01</t>
  </si>
  <si>
    <t>Viaticos fuera del pais</t>
  </si>
  <si>
    <t>2.1.1.3.01</t>
  </si>
  <si>
    <t>Transferencias corrientes a Organismos Internacionales</t>
  </si>
  <si>
    <t>5-1-01-01-000-1-0-001</t>
  </si>
  <si>
    <t>5-1-01-01-000-3-0-002-0005</t>
  </si>
  <si>
    <t>5-1-01-01-000-7-0-003-0003</t>
  </si>
  <si>
    <t>5-1-01-01-000-7-0-004-0001</t>
  </si>
  <si>
    <t>5-1-01-01-000-7-0-001</t>
  </si>
  <si>
    <t>5-1-01-01-000-3-0-002-0009</t>
  </si>
  <si>
    <t>5-1-01-01-000-3-0-002-0006</t>
  </si>
  <si>
    <t>5-1-01-01-000-8-0-001</t>
  </si>
  <si>
    <t>5-1-01-01-000-8-0-002</t>
  </si>
  <si>
    <t>5-1-01-01-000-8-0-003</t>
  </si>
  <si>
    <t>5-1-01-01-000-6-0-002-0001</t>
  </si>
  <si>
    <t>5-1-01-02-000-1-0-001-0003</t>
  </si>
  <si>
    <t>5-1-01-02-000-1-0-001-0005</t>
  </si>
  <si>
    <t>5-1-01-02-000-1-0-002-0001</t>
  </si>
  <si>
    <t>5-1-01-02-000-1-0-003-0001</t>
  </si>
  <si>
    <t>5-1-01-02-000-1-0-003-0002</t>
  </si>
  <si>
    <t>5-1-01-02-000-1-0-004-0001</t>
  </si>
  <si>
    <t>5-1-01-02-000-1-0-004-0002</t>
  </si>
  <si>
    <t>5-1-01-02-000-1-0-005-0001</t>
  </si>
  <si>
    <t>5-1-01-02-000-1-0-005-0004</t>
  </si>
  <si>
    <t>5-1-01-02-000-1-0-006-0001</t>
  </si>
  <si>
    <t>5-1-01-02-000-1-0-006-0004</t>
  </si>
  <si>
    <t>5-1-01-02-000-1-0-006-9000</t>
  </si>
  <si>
    <t>5-1-01-02-000-1-0-007-0002</t>
  </si>
  <si>
    <t>5-1-01-02-000-1-0-007-0003</t>
  </si>
  <si>
    <t>5-1-01-02-000-1-0-007-9999</t>
  </si>
  <si>
    <t>5-1-01-02-000-1-0-009-0004</t>
  </si>
  <si>
    <t>5-1-01-02-000-1-0-009-0008</t>
  </si>
  <si>
    <t>5-1-01-02-000-1-0-009-0009</t>
  </si>
  <si>
    <t>5-1-01-02-000-1-0-999-0000-2</t>
  </si>
  <si>
    <t>5-1-01-02-000-1-0-002-0006</t>
  </si>
  <si>
    <t>5-1-01-02-000-1-0-002-0007</t>
  </si>
  <si>
    <t>5-1-01-02-000-1-0-999-0000-4</t>
  </si>
  <si>
    <t>5-1-01-02-000-1-0-999-0000-9</t>
  </si>
  <si>
    <t>5-1-01-02-000-1-0-999-0001-8</t>
  </si>
  <si>
    <t>5-1-01-02-000-1-0-999-0000-7</t>
  </si>
  <si>
    <t>5-1-01-02-000-1-0-999-0001-9</t>
  </si>
  <si>
    <t>5-1-01-02-000-2-0-001-0001</t>
  </si>
  <si>
    <t>5-1-01-02-000-2-0-002-0002</t>
  </si>
  <si>
    <t>5-1-01-02-000-2-0-004-0001</t>
  </si>
  <si>
    <t>5-1-01-02-000-2-0-004-0003</t>
  </si>
  <si>
    <t>5-1-01-02-000-2-0-005-0001</t>
  </si>
  <si>
    <t>5-1-01-02-000-2-0-007-0002</t>
  </si>
  <si>
    <t>5-1-01-02-000-2-0-007-0003</t>
  </si>
  <si>
    <t>5-1-01-02-000-2-0-007-0005</t>
  </si>
  <si>
    <t>5-1-01-02-000-2-0-007-0006</t>
  </si>
  <si>
    <t>5-1-01-02-000-2-0-007-0999</t>
  </si>
  <si>
    <t>5-1-01-02-000-2-0-007-0001</t>
  </si>
  <si>
    <t>5-1-01-02-000-2-0-007-0008</t>
  </si>
  <si>
    <t>1-1-01-02-000-1</t>
  </si>
  <si>
    <t>1-1-01-02-000-1-0-004</t>
  </si>
  <si>
    <t>1-1-04-02-000-3</t>
  </si>
  <si>
    <t>Gastos pagados por adelantado seguro bienes muebles</t>
  </si>
  <si>
    <t>Gastos pagados por adelantado seguro de personas</t>
  </si>
  <si>
    <t>1-1-04-10-000-1-0-002</t>
  </si>
  <si>
    <t>1-1-04-10-000-1-0-003</t>
  </si>
  <si>
    <t>1-1-04-10-000-3-0-001</t>
  </si>
  <si>
    <t>1-1-06-01</t>
  </si>
  <si>
    <t>1-1-04-01-000-3-0-001</t>
  </si>
  <si>
    <t>4-1-02-02-000-2-0-006</t>
  </si>
  <si>
    <t>OTRAS VENTAS DE SERVICIOS DE LAS DESCENTRALIZADAS Y AUTÓNOMAS NO FINANCIERAS</t>
  </si>
  <si>
    <t>4-1-02-02-000-2-0-004</t>
  </si>
  <si>
    <t>1-2-06-99-000-1</t>
  </si>
  <si>
    <t>1-2-06-99-000-2</t>
  </si>
  <si>
    <t>1-2-06-99-000-4</t>
  </si>
  <si>
    <t>1-2-06-99-000-3</t>
  </si>
  <si>
    <t>1-2-06-99-000-5</t>
  </si>
  <si>
    <t>1-2-06-99-000-6</t>
  </si>
  <si>
    <t>1-2-06-01-000-3</t>
  </si>
  <si>
    <t>1-2-06-01-000-4</t>
  </si>
  <si>
    <t>1-2-06-01-000-6</t>
  </si>
  <si>
    <t>1-2-06-01-000-7</t>
  </si>
  <si>
    <t>1-2-06-98-000-1</t>
  </si>
  <si>
    <t>1-2-06-98-000-8</t>
  </si>
  <si>
    <t>2-1-03-06-000-1</t>
  </si>
  <si>
    <t>2-1-03-06-000-3</t>
  </si>
  <si>
    <t>2-1-03-98-099-8</t>
  </si>
  <si>
    <t>2-1-03-06-999-9</t>
  </si>
  <si>
    <t>2-1-03-01-000-3-0-003-0001</t>
  </si>
  <si>
    <t>2-1-03-02-000-1-0-009-0004</t>
  </si>
  <si>
    <t>DIRECTOS INTERNOS A PAGAR A CORTO PLAZO</t>
  </si>
  <si>
    <t>2-1-03-02-000-1-0-003-0002</t>
  </si>
  <si>
    <t>2-1-03-02-000-1-0-002-0001</t>
  </si>
  <si>
    <t>SERVICIO DE ENERGÍA ELÉCTRICA DE PROVEEDORES DIRECTOS INTERNOS A PAGAR A CORTO PLAZO</t>
  </si>
  <si>
    <t>SERVICIO DE IMPRESIÓN Y ENCUADERNACIÓN DE PROVEEDORES</t>
  </si>
  <si>
    <t>SERVICIO DE TELÉFONO LOCAL DE PROVEEDORES DIRECTOS</t>
  </si>
  <si>
    <t>EXTERNOS A PAGAR A CORTO PLAZO</t>
  </si>
  <si>
    <t>2-1-03-02-000-1-0-002-0003</t>
  </si>
  <si>
    <t>SERVICIO DE INTERNET Y TELEVISIÓN POR CABLE DE PROVEEDORES DIRECTOS INTERNOS A PAGAR A CORTO PLAZO</t>
  </si>
  <si>
    <t>2-1-03-02-000-1-0-001-0005</t>
  </si>
  <si>
    <t>2-1-03-02-000-1-0-006-0003</t>
  </si>
  <si>
    <t>SEGUROS DE PERSONAS DE PROVEEDORES DIRECTOS INTERNOS A PAGAR A CORTO PLAZO</t>
  </si>
  <si>
    <t>2-1-03-02-000-1-0-009-0005</t>
  </si>
  <si>
    <t>2-1-03-02-000-1-0-005-0004</t>
  </si>
  <si>
    <t>ALQUILER DE EQUIPO PARA COMPUTACIÓN DE PROVEEDORES DIRECTOS INTERNOS A PAGAR A CORTO PLAZO</t>
  </si>
  <si>
    <t>2-1-03-02-000-1-0-009-0006</t>
  </si>
  <si>
    <t>EVENTOS GENERALES DE PROVEEDORES DIRECTOS INTERNOS A PAGAR A CORTO PLAZO</t>
  </si>
  <si>
    <t>2-1-03-02-000-1-0-016-9999</t>
  </si>
  <si>
    <t>OTROS PRODUCTOS Y UTILES DE PROVEEDORES DIRECTOS INTERNOS A PAGAR A CORTO PLAZO</t>
  </si>
  <si>
    <t>1-1-04-10-000-2-0001</t>
  </si>
  <si>
    <t>2.6.1.9</t>
  </si>
  <si>
    <t>2.6.1.4</t>
  </si>
  <si>
    <t>Electrodomésticos</t>
  </si>
  <si>
    <t>2614-01</t>
  </si>
  <si>
    <t>Muebles, equipos de oficina y estantería</t>
  </si>
  <si>
    <t>2.6.1.3</t>
  </si>
  <si>
    <t>2.6.2.3</t>
  </si>
  <si>
    <t>2.6.4</t>
  </si>
  <si>
    <t>Automóviles y camiones</t>
  </si>
  <si>
    <t>2.6.4.1</t>
  </si>
  <si>
    <t>2641-01</t>
  </si>
  <si>
    <t>Vehículos Y Equipo De Transporte, Tracción Y  Elevación</t>
  </si>
  <si>
    <t>2.6.5.4</t>
  </si>
  <si>
    <t>2654-01</t>
  </si>
  <si>
    <t>Sistemas y equipos de climatización</t>
  </si>
  <si>
    <t>2.6.5.5</t>
  </si>
  <si>
    <t>2.6.1.1</t>
  </si>
  <si>
    <t>2.1.2.2.06</t>
  </si>
  <si>
    <t>Incentivo por Rendimiento Individual</t>
  </si>
  <si>
    <t>Servicios de informática</t>
  </si>
  <si>
    <t xml:space="preserve">Impuestos por pagar </t>
  </si>
  <si>
    <t>Adquisición</t>
  </si>
  <si>
    <t>Otros Ingresos</t>
  </si>
  <si>
    <t>2.3</t>
  </si>
  <si>
    <t>2313-03</t>
  </si>
  <si>
    <t>Productos forestales</t>
  </si>
  <si>
    <t>Período (meses)</t>
  </si>
  <si>
    <t>Productos agroforestales</t>
  </si>
  <si>
    <t>Prendas y accesorios de vestir</t>
  </si>
  <si>
    <t>Diferencias Positiva / Negativas Cambiarias</t>
  </si>
  <si>
    <t>2285-02</t>
  </si>
  <si>
    <t>2271-01</t>
  </si>
  <si>
    <t>2322-01</t>
  </si>
  <si>
    <t>2269-01</t>
  </si>
  <si>
    <t xml:space="preserve">TOTAL  GENERAL </t>
  </si>
  <si>
    <t xml:space="preserve">            ORGANISMO DOMINICANO DE ACREDITACION </t>
  </si>
  <si>
    <t>2399-04</t>
  </si>
  <si>
    <t>Productos y útiles de defensa y seguridad</t>
  </si>
  <si>
    <t>Mantenimiento y reparaciones menores en edificaciones</t>
  </si>
  <si>
    <t>Cuenta Presupuestaria</t>
  </si>
  <si>
    <t>Altice Dominicana, S. A.</t>
  </si>
  <si>
    <t>2.1.1.5.01</t>
  </si>
  <si>
    <t>2334-01</t>
  </si>
  <si>
    <t>Libros, revistas y periódicos</t>
  </si>
  <si>
    <t>2287-01</t>
  </si>
  <si>
    <t>Depositos local alquiler Edificio Equinox (Ginaka 2.0)</t>
  </si>
  <si>
    <t>verificar</t>
  </si>
  <si>
    <t>Depre. Acum. Equipos de comunicacion y señalamiento</t>
  </si>
  <si>
    <t xml:space="preserve">NOMINA POR PAGAR </t>
  </si>
  <si>
    <t>Servicios Técnicos y Profesionales</t>
  </si>
  <si>
    <t>Compensación Extraordinaria Anual</t>
  </si>
  <si>
    <t>Servicios Jurídicos</t>
  </si>
  <si>
    <t xml:space="preserve">Otros seguros </t>
  </si>
  <si>
    <t>Cuenta colectora</t>
  </si>
  <si>
    <t>SERVICIOS DE GESTION Y MONTAJE PARA TALLER CAPACITACION EN BPA, BPM Y TOMA DE MUESTRA Y MUESTREO.</t>
  </si>
  <si>
    <t>OTROS INGRESOS</t>
  </si>
  <si>
    <t>REEMBOLSO DE LA  TSS</t>
  </si>
  <si>
    <t>BALANCE GENERAL</t>
  </si>
  <si>
    <t xml:space="preserve">ACTIVO </t>
  </si>
  <si>
    <t>Activos Corrientes</t>
  </si>
  <si>
    <t>Disponibilidades (Cuenta fondo reponible y caja chica)</t>
  </si>
  <si>
    <t>Cuentas por Cobrar</t>
  </si>
  <si>
    <t>Inventario de Consumo</t>
  </si>
  <si>
    <t xml:space="preserve">Gastos Pagados por Anticipado </t>
  </si>
  <si>
    <t>Total Activos Corrientes</t>
  </si>
  <si>
    <t>Activos No Corrientes</t>
  </si>
  <si>
    <t>Mobiliarios y Equipos en uso</t>
  </si>
  <si>
    <t>Total Activos No Corrientes</t>
  </si>
  <si>
    <t>Otros Activos No Corrientes</t>
  </si>
  <si>
    <t>Depositos y fianzas</t>
  </si>
  <si>
    <t>Total Otros Activos No Corrientes</t>
  </si>
  <si>
    <t>TOTAL ACTIVOS</t>
  </si>
  <si>
    <t>PASIVO Y PATRIMONIO</t>
  </si>
  <si>
    <t>Pasivos Corrientes</t>
  </si>
  <si>
    <t xml:space="preserve">Cuentas  por Pagar </t>
  </si>
  <si>
    <t>Total Pasivos Corrientes</t>
  </si>
  <si>
    <t>Pasivos No Corrientes</t>
  </si>
  <si>
    <t>Pasivos no Corrientes</t>
  </si>
  <si>
    <t>Total Pasivos No Corrientes</t>
  </si>
  <si>
    <t xml:space="preserve">Patrimonio Institucional </t>
  </si>
  <si>
    <t xml:space="preserve">Total Patrimonio </t>
  </si>
  <si>
    <t>TOTAL PASIVOS Y PATRIMONIO</t>
  </si>
  <si>
    <t>Aura M. Segura Matos</t>
  </si>
  <si>
    <t>Derechos y Usos</t>
  </si>
  <si>
    <t>2.2.5.9</t>
  </si>
  <si>
    <t xml:space="preserve">Licencias </t>
  </si>
  <si>
    <t>2.2.5.1</t>
  </si>
  <si>
    <t>Equipos y muebles para oficina</t>
  </si>
  <si>
    <t>Ingresos por Diferencias cambiarias</t>
  </si>
  <si>
    <t>2333-01</t>
  </si>
  <si>
    <t>Productos de artes gráficas</t>
  </si>
  <si>
    <t>Artes graficas</t>
  </si>
  <si>
    <t>Acabados textil</t>
  </si>
  <si>
    <t>Gasto de depreciación</t>
  </si>
  <si>
    <t>HONORARIOS Y SERVICIOS TECNICOS PROFESIONALES POR PAGAR</t>
  </si>
  <si>
    <t>Impresión y encuadarnación</t>
  </si>
  <si>
    <t>Fecha</t>
  </si>
  <si>
    <t>2372-99</t>
  </si>
  <si>
    <t>2621-01</t>
  </si>
  <si>
    <t>Combustibles y lubricantes</t>
  </si>
  <si>
    <t>2.3.7.1</t>
  </si>
  <si>
    <t>2.3.7.2</t>
  </si>
  <si>
    <t>Productos químicos y conexos</t>
  </si>
  <si>
    <t>Otros productos químicos y conexos</t>
  </si>
  <si>
    <t>2.6.2.1</t>
  </si>
  <si>
    <t>Equipos y Aparatos Audiovisuales</t>
  </si>
  <si>
    <t>Edesur Dominicana, S.A</t>
  </si>
  <si>
    <t>2.2.1.5.01</t>
  </si>
  <si>
    <t>Instituto Nacional de Protección de los Derechos del Consumidor (ProConsumidor) </t>
  </si>
  <si>
    <t>2.2.6.3.01</t>
  </si>
  <si>
    <t xml:space="preserve">Cuentas por pagar </t>
  </si>
  <si>
    <t xml:space="preserve">                                                                                                                                                                                                                                                                                                                                                                                            </t>
  </si>
  <si>
    <t xml:space="preserve">PWA EIRL </t>
  </si>
  <si>
    <t>Humano Seguros, S. A.</t>
  </si>
  <si>
    <t>2.1.1.2.11</t>
  </si>
  <si>
    <t>Interinato</t>
  </si>
  <si>
    <t>2272-01</t>
  </si>
  <si>
    <t>2253-04</t>
  </si>
  <si>
    <t>Alquiler equipos de oficinas y muebles</t>
  </si>
  <si>
    <t>ññ</t>
  </si>
  <si>
    <t>2.2.1.6.01</t>
  </si>
  <si>
    <t>2272-07</t>
  </si>
  <si>
    <t>Bonos para utiles diversos</t>
  </si>
  <si>
    <t>Mantenimiento y reparación de equipos industriales y producción</t>
  </si>
  <si>
    <t>Activos Intangibles</t>
  </si>
  <si>
    <t>Solo en Contabilidad</t>
  </si>
  <si>
    <t xml:space="preserve">Reintegro a Tesorería </t>
  </si>
  <si>
    <t>INGRESOS FACTURADOS POR SERVICIOS</t>
  </si>
  <si>
    <t xml:space="preserve"> INGRESOS FACTURADOS POR SERVICIOS DE ACREDITACION</t>
  </si>
  <si>
    <t>COBROS POR RECIBO</t>
  </si>
  <si>
    <t>Intagible</t>
  </si>
  <si>
    <t xml:space="preserve">Software ERP </t>
  </si>
  <si>
    <t>Depre. Acum. Bienes Intangibles</t>
  </si>
  <si>
    <t>Depre. Acum. Intangibles</t>
  </si>
  <si>
    <t>ICU Soluciones Empresariales, SRL.</t>
  </si>
  <si>
    <t>2.2.5.3.04</t>
  </si>
  <si>
    <t>Alimentos y bebidas para personas (Para Inventario)</t>
  </si>
  <si>
    <t xml:space="preserve">Inventario </t>
  </si>
  <si>
    <t xml:space="preserve">Llantas y neumaticos </t>
  </si>
  <si>
    <t>H&amp;H  Solutions, SRL.</t>
  </si>
  <si>
    <t xml:space="preserve">Para registrar  la adquisición de software (licencia) Adobe Ilustrator para ser </t>
  </si>
  <si>
    <t>SEGUROS UNIVERSAL, S. A.</t>
  </si>
  <si>
    <t>2285-03</t>
  </si>
  <si>
    <t xml:space="preserve">Limpieza de carros o barcos </t>
  </si>
  <si>
    <t>Seguros pagados por adelantado de bienes muebles (Seguros Universal, S. A.)</t>
  </si>
  <si>
    <t>Licencias Adobe Ilustrator (H&amp;H Solution, SRL.)</t>
  </si>
  <si>
    <t xml:space="preserve">Para registrar la renovación de Licencias de Microsoft Office 365 Apps For Bussiness por periodo de un año </t>
  </si>
  <si>
    <t>Gastos pagados por adelantado Seguro de bienes muebles</t>
  </si>
  <si>
    <t>Gastos pagados por adelantado Seguro de personas</t>
  </si>
  <si>
    <t xml:space="preserve">Consumo de inventario </t>
  </si>
  <si>
    <t>Mantenimiento y reparación de muebles y equipos de  oficina</t>
  </si>
  <si>
    <t>Compensación Cumplimiento Indicadores MAP</t>
  </si>
  <si>
    <t>Impuesto</t>
  </si>
  <si>
    <t>Objeto</t>
  </si>
  <si>
    <t>Seguros pagados por adelantado de Personas</t>
  </si>
  <si>
    <t>Enc. Div. De Contabilidad</t>
  </si>
  <si>
    <t>Gastos pagados por adelantado  de Licencias Informaticas</t>
  </si>
  <si>
    <t>Amortización Seguro de bienes muebles</t>
  </si>
  <si>
    <t>Amortización de personas</t>
  </si>
  <si>
    <t>Claribel Abreu Infante</t>
  </si>
  <si>
    <t xml:space="preserve">        ORGANISMO DOMINICANO DE ACREDITACION </t>
  </si>
  <si>
    <t>Renovación Seguro flotillas de vehiculos ODAC 2024-2025</t>
  </si>
  <si>
    <t xml:space="preserve">Enc. Dpto. Administrativo Financiero </t>
  </si>
  <si>
    <t>Impuestos, multas y recargos moratorios</t>
  </si>
  <si>
    <t>2394-01</t>
  </si>
  <si>
    <t>Acabado Textil</t>
  </si>
  <si>
    <t>Útiles destinados a actividades deportivas, culturales y recreativas</t>
  </si>
  <si>
    <t>Amortización pagados por adelantado  de Licencias Informaticas</t>
  </si>
  <si>
    <t>2372-06</t>
  </si>
  <si>
    <t>Pintura, laca, barnices, diluyentes y abosrobente para pintar</t>
  </si>
  <si>
    <t>2292-03</t>
  </si>
  <si>
    <t>PENDIENTE</t>
  </si>
  <si>
    <t>Otros y SUELDOS 13 Y 14</t>
  </si>
  <si>
    <t>Columna1</t>
  </si>
  <si>
    <t>2.2.5.9.01</t>
  </si>
  <si>
    <t>Licencias Microsoft 365 Apps For Business (P.W.A., SRL.)</t>
  </si>
  <si>
    <t>Diferencia negativa Cambiaria</t>
  </si>
  <si>
    <t>SEGURO NACIONAL DE SALUD</t>
  </si>
  <si>
    <t>Pago de horas extraordinarias</t>
  </si>
  <si>
    <t>2.1.2.2.03</t>
  </si>
  <si>
    <t>Ingresos por Diferencia Negativa Cambiaria</t>
  </si>
  <si>
    <t xml:space="preserve">FACTURA No. </t>
  </si>
  <si>
    <t xml:space="preserve">NCF No. </t>
  </si>
  <si>
    <t xml:space="preserve">CLIENTE </t>
  </si>
  <si>
    <t>Ingreso</t>
  </si>
  <si>
    <t xml:space="preserve">   ORGANISMO DOMINICANO DE ACREDITACION ODAC</t>
  </si>
  <si>
    <t>Amortización pagados por adelantado  de seguro de personas</t>
  </si>
  <si>
    <t>B1500000183</t>
  </si>
  <si>
    <t>FONDO DE INVERSION CERRADO PIONEER INMOBILIARIO II</t>
  </si>
  <si>
    <t>B1500000181</t>
  </si>
  <si>
    <t>ALQUILER DE OFICINA DE ODAC, CORRESPONDIENTE AL MES DE OCTUBRE 2025, SEGUN CONTRATO BS-0003603-2018.</t>
  </si>
  <si>
    <t>ALQUILER DE OFICINA DE ODAC, CORRESPONDIENTE A LOS MESES  DESDE  MAYO 2025 HASTA SEPTIEMBRE 2025, SEGUN CONTRATO BS-0003603-2018.</t>
  </si>
  <si>
    <t>SW141-20-10265</t>
  </si>
  <si>
    <t>Otros servicios técnicos profesionales</t>
  </si>
  <si>
    <t>Gastos pagados por adelantado licencias informáticas</t>
  </si>
  <si>
    <t>B1500000185</t>
  </si>
  <si>
    <t>ALQUILER DE OFICINA DE ODAC, CORRESPONDIENTE AL MES DE NOVIEMBRE 2025, SEGUN CONTRATO BS-0003603-2018.</t>
  </si>
  <si>
    <t xml:space="preserve">  </t>
  </si>
  <si>
    <t>Creditos y/o Descuentos</t>
  </si>
  <si>
    <t>2025-025</t>
  </si>
  <si>
    <t>B0100000157</t>
  </si>
  <si>
    <t>PROCURADURIA GENERAL DE LA REPUBLICA DOMINICANA</t>
  </si>
  <si>
    <t>B1500000187</t>
  </si>
  <si>
    <t>ALQUILER DE OFICINA DE ODAC, CORRESPONDIENTE AL MES DE DICIEMBRE 2025, SEGUN CONTRATO BS-0003603-2018.</t>
  </si>
  <si>
    <t>Seguros Reservas, SA</t>
  </si>
  <si>
    <t>E450000000001</t>
  </si>
  <si>
    <t>ALQUILER DE OFICINA DE ODAC, CORRESPONDIENTE AL MES DE ENERO 2026, SEGUN CONTRATO BS-0003603-2018.</t>
  </si>
  <si>
    <t xml:space="preserve">CONTRATACION SERVICIO DE CONSULTORIA INTERNACIONAL PARA ASISTENCIA TECNICA ESPECIALIZADA, CONTRATO No. BS-0011584-2025, DEL 09/12/2025 AL 09/01/2026. </t>
  </si>
  <si>
    <t>E450000000002</t>
  </si>
  <si>
    <t>SEGUROS RESERVAS</t>
  </si>
  <si>
    <t>2.4</t>
  </si>
  <si>
    <t>InterAmerican Accreditation Cooperation A. C.</t>
  </si>
  <si>
    <t>2.2.9.2.01</t>
  </si>
  <si>
    <t>Seguro Nacional de Salud</t>
  </si>
  <si>
    <t>2.2.8.7.06</t>
  </si>
  <si>
    <t xml:space="preserve">Organismo Dominicano de Acreditación </t>
  </si>
  <si>
    <t>2.2.3.1.01</t>
  </si>
  <si>
    <t>Ferney Arsenio Chaparro Diaz</t>
  </si>
  <si>
    <t>COMPLETADO</t>
  </si>
  <si>
    <t>ALQUILER DE OFICINA DE ODAC, CORRESPONDIENTE AL MES DE FEBRERO 2026, SEGUN CONTRATO BS-0003603-2018.</t>
  </si>
  <si>
    <t>FLORISTERIA ZUNIFLOR, SRL.</t>
  </si>
  <si>
    <t>E450000000003</t>
  </si>
  <si>
    <t>E450000000004</t>
  </si>
  <si>
    <t>TOTAL TRANSFERENCIA</t>
  </si>
  <si>
    <t>INGRESOS  2026</t>
  </si>
  <si>
    <t>Seminario Pontificio Santo Tomas de Aquino</t>
  </si>
  <si>
    <t>2.2.5.1.01</t>
  </si>
  <si>
    <t>Compañía Dominicana de Telefono</t>
  </si>
  <si>
    <t>2.2.1.3.01/2.2.1.5.01</t>
  </si>
  <si>
    <t>2.3.1.3.03</t>
  </si>
  <si>
    <t>2.1.1.5.03</t>
  </si>
  <si>
    <t>E450000000005</t>
  </si>
  <si>
    <t>E450000000006</t>
  </si>
  <si>
    <t>ALQUILER DE OFICINA DE ODAC, CORRESPONDIENTE AL MES DE MARZO 2026, SEGUN CONTRATO BS-0003603-2018.</t>
  </si>
  <si>
    <t>Prestación laboral por desvinculación</t>
  </si>
  <si>
    <t>326</t>
  </si>
  <si>
    <t>2.2.9.2.03</t>
  </si>
  <si>
    <t>351</t>
  </si>
  <si>
    <t>E450000000345</t>
  </si>
  <si>
    <t xml:space="preserve">RESTAURANT BOGA BOGA </t>
  </si>
  <si>
    <t>SERVICIOS DE CENA PARA EVALUADORES PAR DE IAAC, REPRESENTADO POR CUBA, JAMAICA, PARAGUAY, COSTA RICA Y ODAC</t>
  </si>
  <si>
    <t>E450000011897</t>
  </si>
  <si>
    <t>SEGURO DE VIDA AL PERSONAL, CORRESPONDIENTE AL MES DE ABRIL 2026</t>
  </si>
  <si>
    <t>ARQUIMEDES ACOSTA RUBIANO</t>
  </si>
  <si>
    <t>E450000005502</t>
  </si>
  <si>
    <t>Monto Lib RD$</t>
  </si>
  <si>
    <t>Monto Emitido RD$</t>
  </si>
  <si>
    <t>Monto Factura US$</t>
  </si>
  <si>
    <t>Tasa Promedio</t>
  </si>
  <si>
    <t>Diferencia cambiaria</t>
  </si>
  <si>
    <t>Lib. No</t>
  </si>
  <si>
    <t>Beneficiario</t>
  </si>
  <si>
    <t xml:space="preserve">Cuenta </t>
  </si>
  <si>
    <t xml:space="preserve">Pagos realizados en Dolares por servicios tecnicos profesionales </t>
  </si>
  <si>
    <t>BALANCE AL 30/04/2026</t>
  </si>
  <si>
    <t>Relación de pagos realizados en el mes de Abril 2026</t>
  </si>
  <si>
    <t>Nóminas Abril 2026</t>
  </si>
  <si>
    <t>Nómina personal fijo 4-2026</t>
  </si>
  <si>
    <t>Nómina personal fijo en tramite de pensión  4-2026</t>
  </si>
  <si>
    <t>Nómina empleados temporales  4-2026</t>
  </si>
  <si>
    <t>Nómina Interinato  4-2026</t>
  </si>
  <si>
    <t>Nómina Gastos de Representación 03-2026</t>
  </si>
  <si>
    <t>Nómina Comp. Serv. de seguridad 4-2026</t>
  </si>
  <si>
    <t>DETALLES DE CUENTAS POR PAGAR AL 30 DE ABRIL 2026</t>
  </si>
  <si>
    <t>ESTADO DE CUENTAS PAGADAS  A SUPLIDORES AL 30 DE ABRIL 2026</t>
  </si>
  <si>
    <t>E450000000007</t>
  </si>
  <si>
    <t>E450000000008</t>
  </si>
  <si>
    <t>ALQUILER DE OFICINA DE ODAC, CORRESPONDIENTE AL MES DE ABRIL 2026, SEGUN CONTRATO BS-0003603-2018.</t>
  </si>
  <si>
    <t>364</t>
  </si>
  <si>
    <t>392</t>
  </si>
  <si>
    <t>394</t>
  </si>
  <si>
    <t>396</t>
  </si>
  <si>
    <t>398</t>
  </si>
  <si>
    <t>439</t>
  </si>
  <si>
    <t>387</t>
  </si>
  <si>
    <t>389</t>
  </si>
  <si>
    <t>411</t>
  </si>
  <si>
    <t>412</t>
  </si>
  <si>
    <t>414</t>
  </si>
  <si>
    <t>Restaurante Boga Boga, C. Por A.</t>
  </si>
  <si>
    <t>416</t>
  </si>
  <si>
    <t>418</t>
  </si>
  <si>
    <t>Padron Office Supply, SRL.</t>
  </si>
  <si>
    <t>2.3.3.1.01/2.3.9.2.01</t>
  </si>
  <si>
    <t>428</t>
  </si>
  <si>
    <t>Suministros Guipak, SRL.</t>
  </si>
  <si>
    <t>2.3.3.2.01 2.3.7.299/23.9.1.01/2.3.9.5.01</t>
  </si>
  <si>
    <t>430</t>
  </si>
  <si>
    <t xml:space="preserve">Global Accreditation Cooperation Incorporated </t>
  </si>
  <si>
    <t>441</t>
  </si>
  <si>
    <t>Casting Scorpion, SRL.</t>
  </si>
  <si>
    <t>2.3.1.1.01</t>
  </si>
  <si>
    <t>443</t>
  </si>
  <si>
    <t>447</t>
  </si>
  <si>
    <t>TotalEnergies Marketing Dominicana, S A.</t>
  </si>
  <si>
    <t>2.3.7.1.01</t>
  </si>
  <si>
    <t>437</t>
  </si>
  <si>
    <t>2.2.3.2.01</t>
  </si>
  <si>
    <t>420</t>
  </si>
  <si>
    <t>Martínez Torres Traveling, SRL</t>
  </si>
  <si>
    <t>459</t>
  </si>
  <si>
    <t>Arquimedis Acosta Rubiano</t>
  </si>
  <si>
    <t>467</t>
  </si>
  <si>
    <t>471</t>
  </si>
  <si>
    <t>Nulo</t>
  </si>
  <si>
    <t>FERNEY CHAPARRO DIAZ</t>
  </si>
  <si>
    <t xml:space="preserve">CONTRATACION SERVICIO DE CONSULTORIA INTERNACIONAL PARA ASISTENCIA TECNICA ESPECIALIZADA, CONTRATO No. BS-0011584-2025, DEL 09/03/2026 AL 09/04/2026. </t>
  </si>
  <si>
    <t>E450000000172</t>
  </si>
  <si>
    <t>E450000005725</t>
  </si>
  <si>
    <t>SEGURO COMPLEMENTARIO DE SALUD AL PERSONAL DE ODAC, CORRESPONDIENTE AL MES DE MAYO 2026.</t>
  </si>
  <si>
    <t>ADQUISICIÓN DE UNA (1) CORONA FÚNEBRE POR EL FALLECIMIENTO DE LA SRA. RAMONA ENCARNACIÓN, HERMANA DEL SR. DARIO ENCARNACIÓN, ADMINISTRADOR DE LOS PROCESOS TÉCNICOS DE ACREDITACIÓN DE ESTE ORGANISMO DOMINICANO DE ACREDITACIÓN (ODAC).</t>
  </si>
  <si>
    <t>E450000012311</t>
  </si>
  <si>
    <t>SEGURO DE VIDA AL PERSONAL, CORRESPONDIENTE AL MES DE MAYO 2026</t>
  </si>
  <si>
    <t>Ingresos por diferencia cambiaria</t>
  </si>
  <si>
    <t>BALANCE DE COMPROBACION DE MAYO DE 2026</t>
  </si>
  <si>
    <t>Balance inicial 30/04/2026</t>
  </si>
  <si>
    <t>Para registrar los ingresos recibidos por transferencias del Gobierno Central para cubrir compromisos de nóminas y gastos corrientes del mes de mayo 2026.</t>
  </si>
  <si>
    <t>Para registrar los gastos de caja chica y las cuentas por pagar de los gastos por reponer al corte del mes o meses anteriores al 31 de mayo 2026.</t>
  </si>
  <si>
    <t>Para registrar el consumo de suministros de materiales de mayo 2026.</t>
  </si>
  <si>
    <t>Para registrar la amortización y gastos de las licencias informáticas, correspondientes al mes de mayo 2026</t>
  </si>
  <si>
    <t>Para registrar las amortizaciones y gastos de las pólizas de seguros de flotilla vehícular  y seguro internacional de salud, correspondientes al mes de mayo 2026.</t>
  </si>
  <si>
    <t>Para registrar el gasto de la depreciación acumulada de activos intangibles, correspondiente al  mes de mayo 2026.</t>
  </si>
  <si>
    <t>Para registrar el gasto de la depreciación acumulada de activos fijos, correspondiente al mes de mayo 2026.</t>
  </si>
  <si>
    <t xml:space="preserve">Para registrar los gastos no personales del objeto 2.2 (servicios) del mes de mayo 2026.  </t>
  </si>
  <si>
    <t>Para registrar los gastos de materiales y suministros del objeto 2.3 (compras o adquisiciones de productos) y combustibles del mes de mayo 2026</t>
  </si>
  <si>
    <t>ENTRADAS DE DIARIOS CORRESPONDIENTE AL MES DE MAYO DE 2026</t>
  </si>
  <si>
    <t>Relación de pagos realizados en el mes de Mayo 2026</t>
  </si>
  <si>
    <t>Nóminas Mayo 2026</t>
  </si>
  <si>
    <t>Nómina Gastos de Representación 04-2026</t>
  </si>
  <si>
    <t>Nómina personal fijo 5-2026</t>
  </si>
  <si>
    <t>Nómina empleados temporales  5-2026</t>
  </si>
  <si>
    <t>Nómina personal fijo en tramite de pensión  5-2026</t>
  </si>
  <si>
    <t>Nómina Comp. Serv. de seguridad 5-2026</t>
  </si>
  <si>
    <t>Nómina Interinato  5-2026</t>
  </si>
  <si>
    <t>RELACION DE CUENTAS POR COBRAR AL 31 DE MAYO 2026</t>
  </si>
  <si>
    <t>AL 31 DE MAYO DE 2026</t>
  </si>
  <si>
    <t>RELACION DE LOS GASTOS PAGADOS  POR ANTICIPADOS AL 31 DE MAYO 2026</t>
  </si>
  <si>
    <t>AL 31 DE MAYO 2026</t>
  </si>
  <si>
    <t>DEPOSITO DE ALQUILER PAGADO  POR ADELANTADO AL 31 DE MAYO 2026</t>
  </si>
  <si>
    <t>DETALLES DE CUENTAS POR PAGAR AL 31 DE MAYO 2026</t>
  </si>
  <si>
    <t>ESTADO DE CUENTAS PAGADAS  A SUPLIDORES AL 31 DE MAYO 2026</t>
  </si>
  <si>
    <t>DEL 01 AL 31 DE MAYO DE 2026</t>
  </si>
  <si>
    <t>Cargos Bancarios de  Mayo 2026</t>
  </si>
  <si>
    <t>BALANCE AL 31/05/2026</t>
  </si>
  <si>
    <t xml:space="preserve">Para registrar el ajuste al cierre de la amortización de la licencia de  Adobe Ilustrator </t>
  </si>
  <si>
    <t>000432</t>
  </si>
  <si>
    <t>Reposición caja chica administrativa</t>
  </si>
  <si>
    <t>000430</t>
  </si>
  <si>
    <t>000431</t>
  </si>
  <si>
    <t>Reposición caja chica Dirección Ejecutiva</t>
  </si>
  <si>
    <t>489</t>
  </si>
  <si>
    <t>Nómina Bono Desempeño Empleados de Carrera 2025</t>
  </si>
  <si>
    <t>492</t>
  </si>
  <si>
    <t>Grupo Astro, SRL.</t>
  </si>
  <si>
    <t>494</t>
  </si>
  <si>
    <t>496</t>
  </si>
  <si>
    <t>Serviauto Roa, SRL.</t>
  </si>
  <si>
    <t>2.2.7.2.06</t>
  </si>
  <si>
    <t>498</t>
  </si>
  <si>
    <t>JGD Multiservices, SRL.</t>
  </si>
  <si>
    <t>506</t>
  </si>
  <si>
    <t>508</t>
  </si>
  <si>
    <t>519</t>
  </si>
  <si>
    <t>523</t>
  </si>
  <si>
    <t>Ferney Chaparro Diaz</t>
  </si>
  <si>
    <t>524</t>
  </si>
  <si>
    <t>Floristeria Zuniflor, SRL.</t>
  </si>
  <si>
    <t>542</t>
  </si>
  <si>
    <t>Para registrar las cuentas pagadas de meses o años anteriores en el mes de mayo 2026, y aplicando nota de credito a la factura e-CF E450000012311</t>
  </si>
  <si>
    <t>544</t>
  </si>
  <si>
    <t>546</t>
  </si>
  <si>
    <t>E450000000009</t>
  </si>
  <si>
    <t>E450000000010</t>
  </si>
  <si>
    <t>ALQUILER DE OFICINA DE ODAC, CORRESPONDIENTE AL MES DE MAYO 2026, SEGUN CONTRATO BS-0003603-2018.</t>
  </si>
  <si>
    <t>533</t>
  </si>
  <si>
    <t>535</t>
  </si>
  <si>
    <t>539</t>
  </si>
  <si>
    <t>537</t>
  </si>
  <si>
    <t>Para registrar los gastos de sueldos al personal fijo, trámite de pensión, empleados temporales, interinato, aportes a la TSS, compensación servicios de seguridad del mes de mayo 2026, gastos de representación de abril 2026, bono de empleados de carrera 2025 y bono por rendimiento individual 2025.</t>
  </si>
  <si>
    <t>572</t>
  </si>
  <si>
    <t>570</t>
  </si>
  <si>
    <t>557</t>
  </si>
  <si>
    <t>555</t>
  </si>
  <si>
    <t>Cecomsa, SRL.</t>
  </si>
  <si>
    <t>2.6</t>
  </si>
  <si>
    <t>2.6.1.3.01</t>
  </si>
  <si>
    <t>2.3.9.8.01</t>
  </si>
  <si>
    <t>586</t>
  </si>
  <si>
    <t>588</t>
  </si>
  <si>
    <t>Nómina vacaciones no disfrutadas exempleada</t>
  </si>
  <si>
    <t>593</t>
  </si>
  <si>
    <t>Nómina bono por desempeño emp. Carrera ex-empleada</t>
  </si>
  <si>
    <t>Nómina de Incentivo por Rendimiento Individual</t>
  </si>
  <si>
    <t>611</t>
  </si>
  <si>
    <t>609</t>
  </si>
  <si>
    <t>618</t>
  </si>
  <si>
    <t>Banderas Global HC, SRL.</t>
  </si>
  <si>
    <t>2.3.2.2.01</t>
  </si>
  <si>
    <t>624</t>
  </si>
  <si>
    <t>626</t>
  </si>
  <si>
    <t>632</t>
  </si>
  <si>
    <t>635</t>
  </si>
  <si>
    <t>Laura Virginia Ramirez Cabrera</t>
  </si>
  <si>
    <t>2.2.8.7.01</t>
  </si>
  <si>
    <t>639</t>
  </si>
  <si>
    <t>649</t>
  </si>
  <si>
    <t xml:space="preserve">Oficina de Coordinación Presidencial </t>
  </si>
  <si>
    <t>2.2.4.1.01</t>
  </si>
  <si>
    <t>651</t>
  </si>
  <si>
    <t>654</t>
  </si>
  <si>
    <t>Inmotion, SAS</t>
  </si>
  <si>
    <t>2.2.8.7.05</t>
  </si>
  <si>
    <t>658</t>
  </si>
  <si>
    <t>Carmen Milagros Vasquez Infante</t>
  </si>
  <si>
    <t>2.2.8.7.02</t>
  </si>
  <si>
    <t>660</t>
  </si>
  <si>
    <t>Maxx Extintores, SRL.</t>
  </si>
  <si>
    <t>2.2.7.2.08</t>
  </si>
  <si>
    <t>2.2.87.02</t>
  </si>
  <si>
    <t>B1500000327</t>
  </si>
  <si>
    <t>GRUPO IRMACELI, SRL</t>
  </si>
  <si>
    <t>B1500000328</t>
  </si>
  <si>
    <t>SERVICIOS DE EXPERTO TÉCNICO PARA FORMAR PARTE DEL COMITÉ AD HOC PARA COMPLETAR EL EXPERTIZ DE LA COMISION DE ACREDITACION PARA LA TOMA DE DECISIÓN DE LA EVALUACION SEGUIMIENTO 1 DEL LABORATORIO DE CALIBRACION DE TDP DOMINICANA EXP. LC-007.</t>
  </si>
  <si>
    <t>SERVICIOS DE EXPERTO TÉCNICO PARA LLEVAR A CABO LOS PROCESOS DE EVALUACIÓN DE LABORATORIO DE BALÍSTICA DE INACIF, EXP. LE-011 Y SEGUIMIENTO 1 AL LABORATORIO DE CALIBRACIÓN DE YEAL CALIBRACIONES SRL. EXP. LC-006.</t>
  </si>
  <si>
    <t>B1500000016</t>
  </si>
  <si>
    <t>E450000000386</t>
  </si>
  <si>
    <t>SERVICIOS DE MANTENIMIENTO Y REPARACIÓN PARA LOS VEHÍCULOS PERTENECIENTES A ESTE ODAC.</t>
  </si>
  <si>
    <t>ADQUISICIÓN DE CARPETAS INSTITUCIONALES Y PORTA MOUSE PARA SER UTILIZADAS POR ESTE ODAC.</t>
  </si>
  <si>
    <t>SERVICIO DE DESAYUNO PARA EL PERSONAL QUE PARTICIPARÁ EN LA REUNIÓN DE SEGUIMIENTO DEL 1ER TRIMESTRE DE LAS ACTIVIDADES ESTABLECIDAS EN EL PLAN OPERATIVO ANUAL 2026 DE ESTE ODAC.</t>
  </si>
  <si>
    <t>SERVIAUTO ROA, SRL.</t>
  </si>
  <si>
    <t>GRUPO ASTRO, SRL.</t>
  </si>
  <si>
    <t>JGD MULTISERVICES, SRL.</t>
  </si>
  <si>
    <t>E450000012769</t>
  </si>
  <si>
    <t>SEGUROS RESERVAS, SRL.</t>
  </si>
  <si>
    <t>ALQUILER DE OFICINA DE ODAC, CORRESPONDIENTE AL MES DE JUNIO 2026, SEGUN CONTRATO BS-0003603-2018.</t>
  </si>
  <si>
    <t>ORGANISMO DOMINICANO DE ACREDITACIÓN  ODAC</t>
  </si>
  <si>
    <t xml:space="preserve">    RELACIÓN DESEMBOLSOS DE GASTOS DE CAJA CHICA DEL 12 AL 25 DE MAYO 2026</t>
  </si>
  <si>
    <t>No. DESEMBOLSO</t>
  </si>
  <si>
    <t>No. CUENTA</t>
  </si>
  <si>
    <t>RNC PROVEEDOR</t>
  </si>
  <si>
    <t>NCF PROVEEDOR</t>
  </si>
  <si>
    <t>DETALLE</t>
  </si>
  <si>
    <t>MONTO</t>
  </si>
  <si>
    <t>B1500000712</t>
  </si>
  <si>
    <t>Compra de Agua Para Consumo de la Dirección Ejecutiva</t>
  </si>
  <si>
    <t>E450000100815</t>
  </si>
  <si>
    <t>Compra de Frutas Para Consumo de la Dirección Ejecutiva</t>
  </si>
  <si>
    <t>E450000000099</t>
  </si>
  <si>
    <t>Lavado de Vehiculo Prado 2020</t>
  </si>
  <si>
    <t>B1500000713</t>
  </si>
  <si>
    <t>TOTALES</t>
  </si>
  <si>
    <t>PREPARADO POR:</t>
  </si>
  <si>
    <t>Mantenimiento y reparación de equipos de transporte</t>
  </si>
  <si>
    <t>E450000024829</t>
  </si>
  <si>
    <t>COMPRA DE 25 BOTELLONES DE AGUA PARA EL USO DE ESTE ODAC</t>
  </si>
  <si>
    <t>PAGO DE UBER PARA ACOMPAÑAR AL DIRECTOR EJECUTIVO A ACTIVIDAD FUERA DE HORARIO LABORAL (DIOMARYS SOTO)</t>
  </si>
  <si>
    <t>LAVADO Y PLANCHADO DE MANTELES</t>
  </si>
  <si>
    <t>E310000000057</t>
  </si>
  <si>
    <t>B1500001457</t>
  </si>
  <si>
    <t>LAVADO DEL VEHICULO TOYOTA HILUX, AÑO 2014, PLACA EL06380 DE ESTE ODAC.</t>
  </si>
  <si>
    <t>COMPRA DE 3 BOTELLONES DE AGUA PARA EL USO DE ESTE ODAC</t>
  </si>
  <si>
    <t>COMPRA DE 4 BOTELLONES DE AGUA PARA EL USO DE ESTE ODAC</t>
  </si>
  <si>
    <t>E450000025334</t>
  </si>
  <si>
    <t>E450000000900</t>
  </si>
  <si>
    <t>COMPRA DE AUDIFONOS CON MICROFONO</t>
  </si>
  <si>
    <t>E450000000514</t>
  </si>
  <si>
    <t>PAGO SEGURO DE MOTOCICLETAS MARCA BAJAJ, PLACA K1121114, Y MARCA X1000 PLACA Q030646, DE ESTS ODAC</t>
  </si>
  <si>
    <t>Preparado por:</t>
  </si>
  <si>
    <t>Marleni Castillo de los Santos</t>
  </si>
  <si>
    <t>Auxiliar Administrativo</t>
  </si>
  <si>
    <t xml:space="preserve">                            </t>
  </si>
  <si>
    <t>Útiles y materiales  de escritorio, oficina e informática</t>
  </si>
  <si>
    <t xml:space="preserve">    RELACIÓN DESEMBOLSOS DE GASTOS DE CAJA CHICA ADMINISTRATIVA DEL 01 AL 29 DE MAYO 2026</t>
  </si>
  <si>
    <t xml:space="preserve">Para registrar la factura No. 2026-005, NCF B0100000161 d/f 20/05/2026, por concepto de reevaluación al Organismo de Certificación de Sistemas de Gestión de Calidad de Aenor Dominicana, bajo la norma Nordom ISO/IEC 17021:2015. </t>
  </si>
  <si>
    <t>2026-005</t>
  </si>
  <si>
    <t>B0100000161</t>
  </si>
  <si>
    <t>AENOR DOMINICANA, SRL.</t>
  </si>
  <si>
    <t>Para registrar ajuste a los balances de monto adquisición de los activos fijos por objetales y los montos de la depreciación acumulada, ver Reporte Gral. Resumido por Objetales al 09/06/2026.</t>
  </si>
  <si>
    <t>Otros Ingresos por Diferencia Negativa Cambiaria</t>
  </si>
  <si>
    <t>Para registrar la diferencia cambiaria por el pago del Libramiento No. 632 d/f 27/05/2026 por el monto de US$4,000.00 a una tasa de 58.8939 para un monto en pesos de RD$235,575.60 y al momento de realizar el pago por contraloria en fecha 29/5/2026 a una tasa de 58.7057 para un monto en pesos de RD$234,822.80, generando una diferencia entre el libramiento y el monto pagado de RD$752.80.</t>
  </si>
  <si>
    <t xml:space="preserve">Depre. Acum. Equipo de transporte, tracción y elevación </t>
  </si>
  <si>
    <t>Depre. Acum. Equipos de computación</t>
  </si>
  <si>
    <t>Equipos de comunicación y señalamiento</t>
  </si>
  <si>
    <t>Equipos de computación</t>
  </si>
  <si>
    <t>Depre. Acum. Equipos de comunicación y señalamiento</t>
  </si>
  <si>
    <t>Para registrar la diferencia cambiaria por el pago del Libramiento No. 523 d/f 07/05/2026 por el monto de US$4,000.00 a una tasa de 59.8567 para un monto en pesos de RD$239,426.80 y al momento de realizar el pago por contraloria en fecha 22/5/2026 a una tasa de 59.3664 para un monto en pesos de RD$237,465.60, generando una diferencia entre el libramiento y el monto pagado de RD$1,961.20.80.</t>
  </si>
  <si>
    <t>E450000006553</t>
  </si>
  <si>
    <t>DELTA COMERCIAL, S. A.</t>
  </si>
  <si>
    <t>SERVICIO DE MANTENIMIENTO AL VEHICULO TOYOTA PRADO 2020, PERTENECIENTE A ODAC.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</si>
</sst>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quot;$&quot;* #,##0.00_);_(&quot;$&quot;* \(#,##0.00\);_(&quot;$&quot;* &quot;-&quot;??_);_(@_)"/>
    <numFmt numFmtId="165" formatCode="_-* #,##0.00\ _P_t_s_-;\-* #,##0.00\ _P_t_s_-;_-* &quot;-&quot;??\ _P_t_s_-;_-@_-"/>
    <numFmt numFmtId="166" formatCode="0.00_)"/>
    <numFmt numFmtId="167" formatCode="_-* #,##0.00_-;\-* #,##0.00_-;_-* &quot;-&quot;??_-;_-@_-"/>
    <numFmt numFmtId="168" formatCode="_-* #,##0_-;\-* #,##0_-;_-* &quot;-&quot;??_-;_-@_-"/>
    <numFmt numFmtId="169" formatCode="#,##0.0"/>
    <numFmt numFmtId="170" formatCode="#,##0.000000000000"/>
    <numFmt numFmtId="171" formatCode="&quot;RD$&quot;#,##0.00"/>
    <numFmt numFmtId="172" formatCode="dd/mm/yyyy;@"/>
    <numFmt numFmtId="173" formatCode="#,##0.00;[Red]#,##0.00"/>
    <numFmt numFmtId="174" formatCode="0.0000"/>
    <numFmt numFmtId="175" formatCode="_(* #,##0.0000_);_(* \(#,##0.0000\);_(* &quot;-&quot;????_);_(@_)"/>
    <numFmt numFmtId="176" formatCode="yyyy\-mm"/>
    <numFmt numFmtId="177" formatCode="#,##0.00000"/>
  </numFmts>
  <fonts count="12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sz val="10"/>
      <name val="Arial"/>
      <family val="2"/>
    </font>
    <font>
      <sz val="11"/>
      <color indexed="8"/>
      <name val="Calibri"/>
      <family val="2"/>
    </font>
    <font>
      <b/>
      <i/>
      <sz val="16"/>
      <name val="Helv"/>
    </font>
    <font>
      <b/>
      <sz val="12"/>
      <color theme="1"/>
      <name val="Calibri"/>
      <family val="2"/>
      <scheme val="minor"/>
    </font>
    <font>
      <sz val="10"/>
      <color theme="1"/>
      <name val="Calibri"/>
      <family val="2"/>
      <scheme val="minor"/>
    </font>
    <font>
      <sz val="11"/>
      <color rgb="FFFF0000"/>
      <name val="Calibri"/>
      <family val="2"/>
      <scheme val="minor"/>
    </font>
    <font>
      <b/>
      <sz val="11"/>
      <name val="Calibri"/>
      <family val="2"/>
      <scheme val="minor"/>
    </font>
    <font>
      <b/>
      <sz val="14"/>
      <color theme="1"/>
      <name val="Calibri"/>
      <family val="2"/>
      <scheme val="minor"/>
    </font>
    <font>
      <b/>
      <sz val="16"/>
      <name val="Times New Roman"/>
      <family val="1"/>
    </font>
    <font>
      <sz val="12"/>
      <name val="Times New Roman"/>
      <family val="1"/>
    </font>
    <font>
      <b/>
      <sz val="12"/>
      <name val="Times New Roman"/>
      <family val="1"/>
    </font>
    <font>
      <sz val="10"/>
      <name val="Times New Roman"/>
      <family val="1"/>
    </font>
    <font>
      <b/>
      <sz val="10"/>
      <name val="Arial"/>
      <family val="2"/>
    </font>
    <font>
      <sz val="8"/>
      <name val="Arial"/>
      <family val="2"/>
    </font>
    <font>
      <b/>
      <sz val="9"/>
      <color indexed="81"/>
      <name val="Tahoma"/>
      <family val="2"/>
    </font>
    <font>
      <sz val="9"/>
      <color indexed="81"/>
      <name val="Tahoma"/>
      <family val="2"/>
    </font>
    <font>
      <sz val="10"/>
      <name val="Arial"/>
      <family val="2"/>
    </font>
    <font>
      <sz val="10"/>
      <name val="Calibri"/>
      <family val="2"/>
      <scheme val="minor"/>
    </font>
    <font>
      <b/>
      <i/>
      <sz val="11"/>
      <color theme="1"/>
      <name val="Calibri"/>
      <family val="2"/>
      <scheme val="minor"/>
    </font>
    <font>
      <b/>
      <i/>
      <u/>
      <sz val="14"/>
      <color theme="1"/>
      <name val="Calibri"/>
      <family val="2"/>
      <scheme val="minor"/>
    </font>
    <font>
      <b/>
      <i/>
      <u/>
      <sz val="12"/>
      <color theme="1"/>
      <name val="Calibri"/>
      <family val="2"/>
      <scheme val="minor"/>
    </font>
    <font>
      <b/>
      <sz val="14"/>
      <name val="Times New Roman"/>
      <family val="1"/>
    </font>
    <font>
      <sz val="14"/>
      <name val="Arial"/>
      <family val="2"/>
    </font>
    <font>
      <sz val="10"/>
      <color rgb="FF000000"/>
      <name val="Calibri"/>
      <family val="2"/>
      <scheme val="minor"/>
    </font>
    <font>
      <b/>
      <sz val="20"/>
      <color theme="1"/>
      <name val="Calibri"/>
      <family val="2"/>
      <scheme val="minor"/>
    </font>
    <font>
      <b/>
      <sz val="11"/>
      <color theme="0"/>
      <name val="Calibri"/>
      <family val="2"/>
      <scheme val="minor"/>
    </font>
    <font>
      <b/>
      <sz val="10"/>
      <name val="Calibri"/>
      <family val="2"/>
      <scheme val="minor"/>
    </font>
    <font>
      <b/>
      <sz val="10"/>
      <color theme="1"/>
      <name val="Calibri"/>
      <family val="2"/>
      <scheme val="minor"/>
    </font>
    <font>
      <b/>
      <i/>
      <sz val="10"/>
      <color theme="1"/>
      <name val="Calibri"/>
      <family val="2"/>
      <scheme val="minor"/>
    </font>
    <font>
      <sz val="10"/>
      <color rgb="FFFF0000"/>
      <name val="Calibri"/>
      <family val="2"/>
      <scheme val="minor"/>
    </font>
    <font>
      <sz val="9"/>
      <color theme="1"/>
      <name val="Calibri"/>
      <family val="2"/>
      <scheme val="minor"/>
    </font>
    <font>
      <sz val="8"/>
      <color theme="1"/>
      <name val="Calibri"/>
      <family val="2"/>
      <scheme val="minor"/>
    </font>
    <font>
      <b/>
      <sz val="10"/>
      <color rgb="FF000000"/>
      <name val="Calibri"/>
      <family val="2"/>
      <scheme val="minor"/>
    </font>
    <font>
      <sz val="14"/>
      <color theme="1"/>
      <name val="Calibri"/>
      <family val="2"/>
      <scheme val="minor"/>
    </font>
    <font>
      <sz val="10"/>
      <color rgb="FFFF0000"/>
      <name val="Arial"/>
      <family val="2"/>
    </font>
    <font>
      <b/>
      <sz val="12"/>
      <color theme="0"/>
      <name val="Calibri"/>
      <family val="2"/>
      <scheme val="minor"/>
    </font>
    <font>
      <sz val="11"/>
      <color theme="1"/>
      <name val="Arial"/>
      <family val="2"/>
    </font>
    <font>
      <sz val="8"/>
      <color theme="1"/>
      <name val="Arial"/>
      <family val="2"/>
    </font>
    <font>
      <b/>
      <sz val="8"/>
      <color theme="1"/>
      <name val="Arial"/>
      <family val="2"/>
    </font>
    <font>
      <b/>
      <sz val="8"/>
      <color theme="1"/>
      <name val="Calibri"/>
      <family val="2"/>
      <scheme val="minor"/>
    </font>
    <font>
      <b/>
      <sz val="10"/>
      <color theme="1"/>
      <name val="Arial"/>
      <family val="2"/>
    </font>
    <font>
      <b/>
      <sz val="16"/>
      <color theme="1"/>
      <name val="Arial"/>
      <family val="2"/>
    </font>
    <font>
      <b/>
      <sz val="16"/>
      <color theme="3" tint="-0.249977111117893"/>
      <name val="Arial"/>
      <family val="2"/>
    </font>
    <font>
      <b/>
      <sz val="8"/>
      <name val="Calibri"/>
      <family val="2"/>
      <scheme val="minor"/>
    </font>
    <font>
      <b/>
      <sz val="8"/>
      <color theme="0"/>
      <name val="Calibri"/>
      <family val="2"/>
      <scheme val="minor"/>
    </font>
    <font>
      <b/>
      <sz val="10"/>
      <color rgb="FFFF0000"/>
      <name val="Calibri"/>
      <family val="2"/>
      <scheme val="minor"/>
    </font>
    <font>
      <b/>
      <sz val="22"/>
      <color theme="1"/>
      <name val="Calibri"/>
      <family val="2"/>
      <scheme val="minor"/>
    </font>
    <font>
      <b/>
      <sz val="9"/>
      <color theme="1"/>
      <name val="Calibri"/>
      <family val="2"/>
      <scheme val="minor"/>
    </font>
    <font>
      <sz val="8"/>
      <color rgb="FFFF0000"/>
      <name val="Arial"/>
      <family val="2"/>
    </font>
    <font>
      <sz val="10"/>
      <color theme="3" tint="-0.249977111117893"/>
      <name val="Calibri"/>
      <family val="2"/>
      <scheme val="minor"/>
    </font>
    <font>
      <sz val="11"/>
      <color rgb="FF000000"/>
      <name val="Calibri"/>
      <family val="2"/>
      <scheme val="minor"/>
    </font>
    <font>
      <sz val="11"/>
      <color rgb="FF000000"/>
      <name val="Cambria"/>
      <family val="1"/>
    </font>
    <font>
      <b/>
      <sz val="18"/>
      <color theme="1"/>
      <name val="Calibri"/>
      <family val="2"/>
      <scheme val="minor"/>
    </font>
    <font>
      <b/>
      <i/>
      <sz val="13"/>
      <color theme="1"/>
      <name val="Calibri"/>
      <family val="2"/>
      <scheme val="minor"/>
    </font>
    <font>
      <b/>
      <sz val="16"/>
      <color theme="0"/>
      <name val="Calibri"/>
      <family val="2"/>
      <scheme val="minor"/>
    </font>
    <font>
      <b/>
      <u/>
      <sz val="11"/>
      <color theme="1"/>
      <name val="Calibri"/>
      <family val="2"/>
      <scheme val="minor"/>
    </font>
    <font>
      <sz val="18"/>
      <color theme="1"/>
      <name val="Copperplate Gothic Bold"/>
      <family val="2"/>
    </font>
    <font>
      <sz val="10"/>
      <color rgb="FFFF0066"/>
      <name val="Calibri"/>
      <family val="2"/>
      <scheme val="minor"/>
    </font>
    <font>
      <sz val="38"/>
      <color rgb="FFFFFFFF"/>
      <name val="Arial"/>
      <family val="2"/>
    </font>
    <font>
      <sz val="9"/>
      <name val="Calibri"/>
      <family val="2"/>
      <scheme val="minor"/>
    </font>
    <font>
      <sz val="10"/>
      <color indexed="8"/>
      <name val="MS Sans Serif"/>
    </font>
    <font>
      <sz val="10"/>
      <color theme="3" tint="0.39997558519241921"/>
      <name val="Calibri"/>
      <family val="2"/>
      <scheme val="minor"/>
    </font>
    <font>
      <sz val="9"/>
      <color rgb="FFFF0000"/>
      <name val="Calibri"/>
      <family val="2"/>
      <scheme val="minor"/>
    </font>
    <font>
      <b/>
      <i/>
      <sz val="18"/>
      <color theme="1"/>
      <name val="Calibri"/>
      <family val="2"/>
      <scheme val="minor"/>
    </font>
    <font>
      <b/>
      <sz val="10"/>
      <color rgb="FFFF0066"/>
      <name val="Calibri"/>
      <family val="2"/>
      <scheme val="minor"/>
    </font>
    <font>
      <sz val="16"/>
      <name val="Calibri"/>
      <family val="2"/>
      <scheme val="minor"/>
    </font>
    <font>
      <b/>
      <i/>
      <sz val="24"/>
      <color theme="1"/>
      <name val="Calibri"/>
      <family val="2"/>
      <scheme val="minor"/>
    </font>
    <font>
      <sz val="10"/>
      <color theme="5" tint="0.79998168889431442"/>
      <name val="Calibri"/>
      <family val="2"/>
      <scheme val="minor"/>
    </font>
    <font>
      <sz val="11"/>
      <color theme="5" tint="0.79998168889431442"/>
      <name val="Calibri"/>
      <family val="2"/>
      <scheme val="minor"/>
    </font>
    <font>
      <b/>
      <sz val="13"/>
      <name val="Times New Roman"/>
      <family val="1"/>
    </font>
    <font>
      <b/>
      <sz val="13"/>
      <color theme="1"/>
      <name val="Calibri"/>
      <family val="2"/>
      <scheme val="minor"/>
    </font>
    <font>
      <sz val="13"/>
      <color theme="1"/>
      <name val="Calibri"/>
      <family val="2"/>
      <scheme val="minor"/>
    </font>
    <font>
      <b/>
      <sz val="11"/>
      <name val="Arial"/>
      <family val="2"/>
    </font>
    <font>
      <sz val="9"/>
      <color rgb="FF000000"/>
      <name val="Calibri"/>
      <family val="2"/>
      <scheme val="minor"/>
    </font>
    <font>
      <b/>
      <sz val="9"/>
      <name val="Calibri"/>
      <family val="2"/>
      <scheme val="minor"/>
    </font>
    <font>
      <sz val="8"/>
      <name val="Calibri"/>
      <family val="2"/>
      <scheme val="minor"/>
    </font>
    <font>
      <b/>
      <sz val="28"/>
      <name val="Calibri"/>
      <family val="2"/>
      <scheme val="minor"/>
    </font>
    <font>
      <i/>
      <sz val="20"/>
      <name val="Calibri"/>
      <family val="2"/>
      <scheme val="minor"/>
    </font>
    <font>
      <sz val="11"/>
      <color theme="5"/>
      <name val="Calibri"/>
      <family val="2"/>
      <scheme val="minor"/>
    </font>
    <font>
      <b/>
      <sz val="26"/>
      <color theme="1"/>
      <name val="Calibri"/>
      <family val="2"/>
      <scheme val="minor"/>
    </font>
    <font>
      <sz val="11"/>
      <color theme="1"/>
      <name val="Calibri"/>
      <family val="2"/>
      <scheme val="minor"/>
    </font>
    <font>
      <sz val="11"/>
      <color theme="1"/>
      <name val="Calibri"/>
      <family val="2"/>
      <scheme val="minor"/>
    </font>
    <font>
      <b/>
      <sz val="11"/>
      <color theme="5"/>
      <name val="Calibri"/>
      <family val="2"/>
      <scheme val="minor"/>
    </font>
    <font>
      <b/>
      <sz val="40"/>
      <color theme="1"/>
      <name val="Calibri"/>
      <family val="2"/>
      <scheme val="minor"/>
    </font>
    <font>
      <sz val="10"/>
      <color theme="5"/>
      <name val="Calibri"/>
      <family val="2"/>
      <scheme val="minor"/>
    </font>
    <font>
      <sz val="11"/>
      <color theme="1"/>
      <name val="Calibri"/>
      <family val="2"/>
      <scheme val="minor"/>
    </font>
    <font>
      <sz val="11"/>
      <color theme="1"/>
      <name val="Calibri"/>
      <family val="2"/>
      <scheme val="minor"/>
    </font>
    <font>
      <b/>
      <sz val="18"/>
      <color theme="3" tint="-0.249977111117893"/>
      <name val="Arial"/>
      <family val="2"/>
    </font>
    <font>
      <sz val="11"/>
      <color theme="1"/>
      <name val="Calibri"/>
      <family val="2"/>
      <scheme val="minor"/>
    </font>
    <font>
      <sz val="11"/>
      <color theme="1"/>
      <name val="Arial"/>
      <family val="2"/>
    </font>
    <font>
      <sz val="10"/>
      <color rgb="FF000000"/>
      <name val="Calibri"/>
      <family val="2"/>
      <scheme val="minor"/>
    </font>
    <font>
      <sz val="11"/>
      <color theme="1"/>
      <name val="Calibri"/>
      <family val="2"/>
      <scheme val="minor"/>
    </font>
    <font>
      <b/>
      <i/>
      <sz val="14"/>
      <color theme="1"/>
      <name val="Calibri"/>
      <family val="2"/>
      <scheme val="minor"/>
    </font>
    <font>
      <sz val="10"/>
      <color rgb="FF000000"/>
      <name val="Calibri"/>
      <family val="2"/>
      <scheme val="minor"/>
    </font>
    <font>
      <b/>
      <sz val="16"/>
      <color theme="1"/>
      <name val="Calibri"/>
      <family val="2"/>
      <scheme val="minor"/>
    </font>
    <font>
      <sz val="10"/>
      <color rgb="FF000000"/>
      <name val="Calibri"/>
      <family val="2"/>
      <scheme val="minor"/>
    </font>
    <font>
      <sz val="11"/>
      <color rgb="FF1673BA"/>
      <name val="Arial"/>
      <family val="2"/>
    </font>
    <font>
      <sz val="11"/>
      <color theme="1"/>
      <name val="Calibri"/>
      <family val="2"/>
      <scheme val="minor"/>
    </font>
    <font>
      <sz val="10"/>
      <color rgb="FF000000"/>
      <name val="Calibri"/>
      <family val="2"/>
      <scheme val="minor"/>
    </font>
    <font>
      <b/>
      <sz val="12"/>
      <color rgb="FFC00000"/>
      <name val="Calibri"/>
      <family val="2"/>
      <scheme val="minor"/>
    </font>
    <font>
      <sz val="11"/>
      <color theme="1"/>
      <name val="Calibri"/>
      <family val="2"/>
      <scheme val="minor"/>
    </font>
    <font>
      <sz val="10"/>
      <color rgb="FF000000"/>
      <name val="Calibri"/>
      <family val="2"/>
      <scheme val="minor"/>
    </font>
    <font>
      <b/>
      <sz val="24"/>
      <color theme="1"/>
      <name val="Calibri"/>
      <family val="2"/>
      <scheme val="minor"/>
    </font>
    <font>
      <sz val="10"/>
      <color rgb="FF000000"/>
      <name val="Calibri"/>
      <family val="2"/>
      <scheme val="minor"/>
    </font>
    <font>
      <b/>
      <sz val="20"/>
      <name val="Times New Roman"/>
      <family val="1"/>
    </font>
    <font>
      <sz val="11"/>
      <color theme="1"/>
      <name val="Calibri"/>
      <family val="2"/>
    </font>
    <font>
      <b/>
      <sz val="18"/>
      <color rgb="FF000000"/>
      <name val="Cambria"/>
      <family val="1"/>
    </font>
    <font>
      <b/>
      <sz val="16"/>
      <color rgb="FF000000"/>
      <name val="Cambria"/>
      <family val="1"/>
    </font>
    <font>
      <b/>
      <sz val="12"/>
      <color rgb="FF000000"/>
      <name val="Cambria"/>
      <family val="1"/>
    </font>
    <font>
      <b/>
      <sz val="12"/>
      <color theme="0"/>
      <name val="Calibri"/>
      <family val="2"/>
    </font>
    <font>
      <sz val="11"/>
      <color rgb="FFFF0000"/>
      <name val="Calibri"/>
      <family val="2"/>
    </font>
    <font>
      <sz val="12"/>
      <color theme="1"/>
      <name val="Calibri"/>
      <family val="2"/>
    </font>
    <font>
      <b/>
      <sz val="11"/>
      <color theme="1"/>
      <name val="Calibri"/>
      <family val="2"/>
    </font>
    <font>
      <sz val="12"/>
      <name val="Calibri"/>
      <family val="2"/>
      <scheme val="minor"/>
    </font>
    <font>
      <sz val="11"/>
      <color theme="1"/>
      <name val="Calibri"/>
      <scheme val="minor"/>
    </font>
    <font>
      <sz val="11"/>
      <color theme="1"/>
      <name val="Aptos Narrow"/>
      <family val="2"/>
    </font>
    <font>
      <b/>
      <sz val="26"/>
      <color rgb="FF000000"/>
      <name val="Cambria"/>
      <family val="1"/>
    </font>
    <font>
      <sz val="26"/>
      <color theme="1"/>
      <name val="Calibri"/>
      <family val="2"/>
      <scheme val="minor"/>
    </font>
    <font>
      <sz val="12"/>
      <color theme="1"/>
      <name val="Cambria"/>
      <family val="1"/>
    </font>
    <font>
      <sz val="11"/>
      <name val="Aptos Narrow"/>
      <family val="2"/>
    </font>
    <font>
      <sz val="12"/>
      <color theme="1"/>
      <name val="Aptos Narrow"/>
      <family val="2"/>
    </font>
    <font>
      <b/>
      <sz val="11"/>
      <color theme="1"/>
      <name val="Aptos Narrow"/>
      <family val="2"/>
    </font>
  </fonts>
  <fills count="36">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rgb="FFFFFF00"/>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6"/>
      </patternFill>
    </fill>
    <fill>
      <patternFill patternType="solid">
        <fgColor theme="8"/>
      </patternFill>
    </fill>
    <fill>
      <patternFill patternType="solid">
        <fgColor theme="8" tint="0.79998168889431442"/>
        <bgColor indexed="65"/>
      </patternFill>
    </fill>
    <fill>
      <patternFill patternType="solid">
        <fgColor rgb="FFFFD85B"/>
        <bgColor indexed="64"/>
      </patternFill>
    </fill>
    <fill>
      <patternFill patternType="solid">
        <fgColor rgb="FFEAB20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8" tint="0.79998168889431442"/>
        <bgColor theme="8" tint="0.79998168889431442"/>
      </patternFill>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
      <patternFill patternType="solid">
        <fgColor rgb="FF76E3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FF"/>
        <bgColor indexed="64"/>
      </patternFill>
    </fill>
    <fill>
      <patternFill patternType="solid">
        <fgColor rgb="FF2F5496"/>
        <bgColor rgb="FF2F5496"/>
      </patternFill>
    </fill>
  </fills>
  <borders count="75">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thin">
        <color theme="8" tint="0.39997558519241921"/>
      </right>
      <top style="thin">
        <color theme="8" tint="0.39997558519241921"/>
      </top>
      <bottom style="double">
        <color indexed="64"/>
      </bottom>
      <diagonal/>
    </border>
    <border>
      <left/>
      <right style="medium">
        <color indexed="64"/>
      </right>
      <top/>
      <bottom style="medium">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style="thin">
        <color theme="8" tint="0.39997558519241921"/>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000000"/>
      </bottom>
      <diagonal/>
    </border>
    <border>
      <left style="medium">
        <color rgb="FF000000"/>
      </left>
      <right style="thin">
        <color rgb="FF000000"/>
      </right>
      <top style="medium">
        <color rgb="FF000000"/>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medium">
        <color indexed="64"/>
      </bottom>
      <diagonal/>
    </border>
    <border>
      <left style="medium">
        <color rgb="FF000000"/>
      </left>
      <right style="thin">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top style="medium">
        <color rgb="FF000000"/>
      </top>
      <bottom/>
      <diagonal/>
    </border>
    <border>
      <left style="medium">
        <color indexed="64"/>
      </left>
      <right style="thin">
        <color rgb="FF000000"/>
      </right>
      <top style="medium">
        <color indexed="64"/>
      </top>
      <bottom/>
      <diagonal/>
    </border>
    <border>
      <left style="medium">
        <color rgb="FF000000"/>
      </left>
      <right style="thin">
        <color rgb="FF000000"/>
      </right>
      <top style="medium">
        <color indexed="64"/>
      </top>
      <bottom/>
      <diagonal/>
    </border>
    <border>
      <left style="medium">
        <color rgb="FF000000"/>
      </left>
      <right style="medium">
        <color indexed="64"/>
      </right>
      <top style="medium">
        <color indexed="64"/>
      </top>
      <bottom/>
      <diagonal/>
    </border>
    <border>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medium">
        <color rgb="FF000000"/>
      </left>
      <right style="thin">
        <color rgb="FF000000"/>
      </right>
      <top/>
      <bottom style="medium">
        <color indexed="64"/>
      </bottom>
      <diagonal/>
    </border>
    <border>
      <left style="medium">
        <color rgb="FF000000"/>
      </left>
      <right style="medium">
        <color indexed="64"/>
      </right>
      <top/>
      <bottom style="medium">
        <color indexed="64"/>
      </bottom>
      <diagonal/>
    </border>
    <border>
      <left/>
      <right style="thin">
        <color rgb="FF000000"/>
      </right>
      <top style="medium">
        <color indexed="64"/>
      </top>
      <bottom style="thin">
        <color rgb="FF000000"/>
      </bottom>
      <diagonal/>
    </border>
    <border>
      <left style="thin">
        <color indexed="64"/>
      </left>
      <right style="medium">
        <color indexed="64"/>
      </right>
      <top style="medium">
        <color indexed="64"/>
      </top>
      <bottom/>
      <diagonal/>
    </border>
    <border>
      <left/>
      <right style="thin">
        <color rgb="FF000000"/>
      </right>
      <top style="thin">
        <color rgb="FF000000"/>
      </top>
      <bottom style="medium">
        <color indexed="64"/>
      </bottom>
      <diagonal/>
    </border>
  </borders>
  <cellStyleXfs count="56">
    <xf numFmtId="0" fontId="0" fillId="0" borderId="0"/>
    <xf numFmtId="43"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6" fontId="8" fillId="0" borderId="0"/>
    <xf numFmtId="0" fontId="1" fillId="0" borderId="0"/>
    <xf numFmtId="0" fontId="6" fillId="0" borderId="0"/>
    <xf numFmtId="0" fontId="6" fillId="0" borderId="0"/>
    <xf numFmtId="0" fontId="7" fillId="2" borderId="1" applyNumberFormat="0" applyFont="0" applyAlignment="0" applyProtection="0"/>
    <xf numFmtId="0" fontId="22" fillId="0" borderId="0"/>
    <xf numFmtId="167" fontId="2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3" fillId="19" borderId="0" applyNumberFormat="0" applyBorder="0" applyAlignment="0" applyProtection="0"/>
    <xf numFmtId="0" fontId="3" fillId="20" borderId="0" applyNumberFormat="0" applyBorder="0" applyAlignment="0" applyProtection="0"/>
    <xf numFmtId="0" fontId="1" fillId="21" borderId="0" applyNumberFormat="0" applyBorder="0" applyAlignment="0" applyProtection="0"/>
    <xf numFmtId="9" fontId="1" fillId="0" borderId="0" applyFont="0" applyFill="0" applyBorder="0" applyAlignment="0" applyProtection="0"/>
    <xf numFmtId="0" fontId="66" fillId="0" borderId="0"/>
    <xf numFmtId="43" fontId="1" fillId="0" borderId="0" applyFont="0" applyFill="0" applyBorder="0" applyAlignment="0" applyProtection="0"/>
    <xf numFmtId="0" fontId="56" fillId="0" borderId="0"/>
    <xf numFmtId="43" fontId="56" fillId="0" borderId="0" applyFont="0" applyFill="0" applyBorder="0" applyAlignment="0" applyProtection="0"/>
    <xf numFmtId="0" fontId="86" fillId="0" borderId="0"/>
    <xf numFmtId="0" fontId="87" fillId="0" borderId="0"/>
    <xf numFmtId="0" fontId="91" fillId="0" borderId="0"/>
    <xf numFmtId="0" fontId="92" fillId="0" borderId="0"/>
    <xf numFmtId="0" fontId="94" fillId="0" borderId="0"/>
    <xf numFmtId="0" fontId="29" fillId="0" borderId="0"/>
    <xf numFmtId="43" fontId="29" fillId="0" borderId="0" applyFont="0" applyFill="0" applyBorder="0" applyAlignment="0" applyProtection="0"/>
    <xf numFmtId="0" fontId="96" fillId="0" borderId="0"/>
    <xf numFmtId="0" fontId="97" fillId="0" borderId="0"/>
    <xf numFmtId="0" fontId="99" fillId="0" borderId="0"/>
    <xf numFmtId="0" fontId="101" fillId="0" borderId="0"/>
    <xf numFmtId="0" fontId="103" fillId="0" borderId="0"/>
    <xf numFmtId="0" fontId="104" fillId="0" borderId="0"/>
    <xf numFmtId="0" fontId="106" fillId="0" borderId="0"/>
    <xf numFmtId="0" fontId="107" fillId="0" borderId="0"/>
    <xf numFmtId="0" fontId="109" fillId="0" borderId="0"/>
    <xf numFmtId="0" fontId="120" fillId="0" borderId="0"/>
  </cellStyleXfs>
  <cellXfs count="912">
    <xf numFmtId="0" fontId="0" fillId="0" borderId="0" xfId="0"/>
    <xf numFmtId="43" fontId="0" fillId="0" borderId="0" xfId="1" applyFont="1"/>
    <xf numFmtId="43" fontId="0" fillId="0" borderId="0" xfId="1" applyFont="1" applyFill="1"/>
    <xf numFmtId="43" fontId="0" fillId="0" borderId="0" xfId="0" applyNumberFormat="1"/>
    <xf numFmtId="0" fontId="0" fillId="0" borderId="0" xfId="0" applyAlignment="1">
      <alignment horizontal="center"/>
    </xf>
    <xf numFmtId="4" fontId="0" fillId="0" borderId="0" xfId="0" applyNumberFormat="1"/>
    <xf numFmtId="0" fontId="2" fillId="0" borderId="0" xfId="0" applyFont="1"/>
    <xf numFmtId="4" fontId="4" fillId="0" borderId="0" xfId="0" applyNumberFormat="1" applyFont="1"/>
    <xf numFmtId="0" fontId="4" fillId="0" borderId="0" xfId="0" applyFont="1"/>
    <xf numFmtId="0" fontId="22" fillId="0" borderId="0" xfId="22"/>
    <xf numFmtId="0" fontId="15" fillId="0" borderId="0" xfId="22" applyFont="1"/>
    <xf numFmtId="15" fontId="15" fillId="10" borderId="23" xfId="22" applyNumberFormat="1" applyFont="1" applyFill="1" applyBorder="1" applyAlignment="1">
      <alignment horizontal="center" vertical="center"/>
    </xf>
    <xf numFmtId="167" fontId="15" fillId="10" borderId="8" xfId="23" applyFont="1" applyFill="1" applyBorder="1"/>
    <xf numFmtId="167" fontId="16" fillId="10" borderId="27" xfId="23" applyFont="1" applyFill="1" applyBorder="1"/>
    <xf numFmtId="43" fontId="22" fillId="0" borderId="0" xfId="22" applyNumberFormat="1"/>
    <xf numFmtId="39" fontId="15" fillId="10" borderId="25" xfId="23" applyNumberFormat="1" applyFont="1" applyFill="1" applyBorder="1" applyAlignment="1">
      <alignment horizontal="left" vertical="center" wrapText="1"/>
    </xf>
    <xf numFmtId="4" fontId="0" fillId="0" borderId="0" xfId="0" applyNumberFormat="1" applyAlignment="1">
      <alignment horizontal="right"/>
    </xf>
    <xf numFmtId="4" fontId="2" fillId="0" borderId="0" xfId="0" applyNumberFormat="1" applyFont="1"/>
    <xf numFmtId="167" fontId="22" fillId="0" borderId="0" xfId="22" applyNumberFormat="1"/>
    <xf numFmtId="43" fontId="18" fillId="0" borderId="0" xfId="22" applyNumberFormat="1" applyFont="1"/>
    <xf numFmtId="0" fontId="10" fillId="0" borderId="0" xfId="0" applyFont="1"/>
    <xf numFmtId="0" fontId="26" fillId="0" borderId="0" xfId="0" applyFont="1" applyAlignment="1">
      <alignment horizontal="center"/>
    </xf>
    <xf numFmtId="39" fontId="5" fillId="0" borderId="0" xfId="0" applyNumberFormat="1" applyFont="1" applyAlignment="1">
      <alignment horizontal="left" vertical="center"/>
    </xf>
    <xf numFmtId="0" fontId="28" fillId="0" borderId="0" xfId="22" applyFont="1"/>
    <xf numFmtId="15" fontId="15" fillId="0" borderId="24" xfId="23" applyNumberFormat="1" applyFont="1" applyFill="1" applyBorder="1" applyAlignment="1">
      <alignment horizontal="center" vertical="center"/>
    </xf>
    <xf numFmtId="167" fontId="15" fillId="0" borderId="5" xfId="22" applyNumberFormat="1" applyFont="1" applyBorder="1" applyAlignment="1">
      <alignment vertical="center"/>
    </xf>
    <xf numFmtId="0" fontId="29" fillId="0" borderId="0" xfId="0" applyFont="1" applyAlignment="1">
      <alignment vertical="center"/>
    </xf>
    <xf numFmtId="4" fontId="12" fillId="0" borderId="4" xfId="0" applyNumberFormat="1" applyFont="1" applyBorder="1"/>
    <xf numFmtId="16" fontId="6" fillId="0" borderId="13" xfId="22" applyNumberFormat="1" applyFont="1" applyBorder="1" applyAlignment="1">
      <alignment horizontal="left" vertical="center" wrapText="1"/>
    </xf>
    <xf numFmtId="16" fontId="6" fillId="0" borderId="5" xfId="22"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right"/>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4" fontId="36" fillId="0" borderId="0" xfId="0" applyNumberFormat="1" applyFont="1"/>
    <xf numFmtId="43" fontId="11" fillId="0" borderId="0" xfId="1" applyFont="1"/>
    <xf numFmtId="43" fontId="29" fillId="0" borderId="0" xfId="0" applyNumberFormat="1" applyFont="1" applyAlignment="1">
      <alignment vertical="center"/>
    </xf>
    <xf numFmtId="4" fontId="29" fillId="0" borderId="0" xfId="0" applyNumberFormat="1" applyFont="1" applyAlignment="1">
      <alignment vertical="center"/>
    </xf>
    <xf numFmtId="4" fontId="12" fillId="0" borderId="0" xfId="0" applyNumberFormat="1" applyFont="1"/>
    <xf numFmtId="43" fontId="29" fillId="0" borderId="0" xfId="1" applyFont="1" applyFill="1" applyBorder="1" applyAlignment="1">
      <alignment vertical="center"/>
    </xf>
    <xf numFmtId="4" fontId="38" fillId="0" borderId="0" xfId="0" applyNumberFormat="1" applyFont="1" applyAlignment="1">
      <alignment vertical="center"/>
    </xf>
    <xf numFmtId="0" fontId="38" fillId="0" borderId="0" xfId="0" applyFont="1" applyAlignment="1">
      <alignment vertical="center"/>
    </xf>
    <xf numFmtId="0" fontId="5" fillId="0" borderId="0" xfId="0" applyFont="1"/>
    <xf numFmtId="0" fontId="9" fillId="0" borderId="0" xfId="0" applyFont="1"/>
    <xf numFmtId="0" fontId="39" fillId="0" borderId="0" xfId="0" applyFont="1"/>
    <xf numFmtId="0" fontId="4" fillId="0" borderId="0" xfId="0" applyFont="1" applyAlignment="1">
      <alignment horizontal="left"/>
    </xf>
    <xf numFmtId="0" fontId="38" fillId="0" borderId="0" xfId="0" applyFont="1" applyAlignment="1">
      <alignment horizontal="left" vertical="center"/>
    </xf>
    <xf numFmtId="43" fontId="38" fillId="0" borderId="0" xfId="1" applyFont="1" applyFill="1" applyBorder="1" applyAlignment="1">
      <alignment vertical="center"/>
    </xf>
    <xf numFmtId="39" fontId="29" fillId="0" borderId="0" xfId="1" applyNumberFormat="1" applyFont="1" applyFill="1" applyBorder="1" applyAlignment="1">
      <alignment vertical="center"/>
    </xf>
    <xf numFmtId="39" fontId="38" fillId="0" borderId="0" xfId="1" applyNumberFormat="1" applyFont="1" applyFill="1" applyBorder="1" applyAlignment="1">
      <alignment vertical="center"/>
    </xf>
    <xf numFmtId="4" fontId="0" fillId="0" borderId="0" xfId="1" applyNumberFormat="1" applyFont="1" applyFill="1"/>
    <xf numFmtId="4" fontId="2" fillId="0" borderId="0" xfId="1" applyNumberFormat="1" applyFont="1" applyFill="1"/>
    <xf numFmtId="4" fontId="0" fillId="0" borderId="0" xfId="1" applyNumberFormat="1" applyFont="1"/>
    <xf numFmtId="4" fontId="0" fillId="16" borderId="0" xfId="1" applyNumberFormat="1" applyFont="1" applyFill="1"/>
    <xf numFmtId="4" fontId="0" fillId="16" borderId="0" xfId="0" applyNumberFormat="1" applyFill="1"/>
    <xf numFmtId="0" fontId="24" fillId="0" borderId="0" xfId="0" applyFont="1" applyAlignment="1">
      <alignment horizontal="center"/>
    </xf>
    <xf numFmtId="0" fontId="10" fillId="0" borderId="0" xfId="0" applyFont="1" applyAlignment="1">
      <alignment horizontal="left" wrapText="1"/>
    </xf>
    <xf numFmtId="4" fontId="10" fillId="0" borderId="0" xfId="0" applyNumberFormat="1" applyFont="1" applyAlignment="1">
      <alignment horizontal="right" wrapText="1"/>
    </xf>
    <xf numFmtId="0" fontId="0" fillId="0" borderId="0" xfId="0" applyAlignment="1">
      <alignment horizontal="center" vertical="center"/>
    </xf>
    <xf numFmtId="0" fontId="0" fillId="0" borderId="0" xfId="0" applyAlignment="1">
      <alignment horizontal="center" vertical="center" wrapText="1"/>
    </xf>
    <xf numFmtId="4" fontId="43" fillId="0" borderId="38" xfId="0" applyNumberFormat="1" applyFont="1" applyBorder="1"/>
    <xf numFmtId="4" fontId="19" fillId="0" borderId="38" xfId="0" applyNumberFormat="1" applyFont="1" applyBorder="1"/>
    <xf numFmtId="4" fontId="43" fillId="0" borderId="8" xfId="0" applyNumberFormat="1" applyFont="1" applyBorder="1"/>
    <xf numFmtId="4" fontId="44" fillId="0" borderId="4" xfId="0" applyNumberFormat="1" applyFont="1" applyBorder="1" applyAlignment="1">
      <alignment vertical="center"/>
    </xf>
    <xf numFmtId="4" fontId="10" fillId="0" borderId="0" xfId="0" applyNumberFormat="1" applyFont="1"/>
    <xf numFmtId="0" fontId="42" fillId="0" borderId="4" xfId="0" applyFont="1" applyBorder="1"/>
    <xf numFmtId="49" fontId="0" fillId="0" borderId="0" xfId="0" applyNumberFormat="1" applyAlignment="1">
      <alignment horizontal="right"/>
    </xf>
    <xf numFmtId="0" fontId="48" fillId="0" borderId="0" xfId="0" applyFont="1" applyAlignment="1">
      <alignment horizontal="center" vertical="center"/>
    </xf>
    <xf numFmtId="0" fontId="47" fillId="0" borderId="0" xfId="0" applyFont="1" applyAlignment="1">
      <alignment horizontal="center" vertical="center"/>
    </xf>
    <xf numFmtId="0" fontId="46" fillId="0" borderId="0" xfId="0" applyFont="1" applyAlignment="1">
      <alignment horizontal="center"/>
    </xf>
    <xf numFmtId="0" fontId="2" fillId="13" borderId="16" xfId="0" applyFont="1" applyFill="1" applyBorder="1" applyAlignment="1">
      <alignment horizontal="center" vertical="center"/>
    </xf>
    <xf numFmtId="49" fontId="2" fillId="13" borderId="17" xfId="0" applyNumberFormat="1" applyFont="1" applyFill="1" applyBorder="1" applyAlignment="1">
      <alignment horizontal="center" vertical="justify"/>
    </xf>
    <xf numFmtId="0" fontId="2" fillId="13" borderId="17" xfId="0" applyFont="1" applyFill="1" applyBorder="1" applyAlignment="1">
      <alignment horizontal="center" vertical="center"/>
    </xf>
    <xf numFmtId="4" fontId="2" fillId="0" borderId="0" xfId="0" applyNumberFormat="1" applyFont="1" applyAlignment="1">
      <alignment horizontal="center" vertical="center"/>
    </xf>
    <xf numFmtId="9" fontId="0" fillId="0" borderId="0" xfId="34" applyFont="1"/>
    <xf numFmtId="0" fontId="29" fillId="24" borderId="0" xfId="0" applyFont="1" applyFill="1" applyAlignment="1">
      <alignment vertical="center"/>
    </xf>
    <xf numFmtId="39" fontId="38" fillId="24" borderId="0" xfId="1" applyNumberFormat="1" applyFont="1" applyFill="1" applyBorder="1" applyAlignment="1">
      <alignment vertical="center"/>
    </xf>
    <xf numFmtId="0" fontId="0" fillId="24" borderId="0" xfId="0" applyFill="1"/>
    <xf numFmtId="0" fontId="38" fillId="24" borderId="0" xfId="0" applyFont="1" applyFill="1" applyAlignment="1">
      <alignment horizontal="left" vertical="center"/>
    </xf>
    <xf numFmtId="4" fontId="38" fillId="24" borderId="0" xfId="0" applyNumberFormat="1" applyFont="1" applyFill="1" applyAlignment="1">
      <alignment vertical="center"/>
    </xf>
    <xf numFmtId="0" fontId="29" fillId="0" borderId="0" xfId="0" applyFont="1" applyAlignment="1">
      <alignment horizontal="center" vertical="center"/>
    </xf>
    <xf numFmtId="0" fontId="29" fillId="24" borderId="0" xfId="0" applyFont="1" applyFill="1" applyAlignment="1">
      <alignment horizontal="left" vertical="center" wrapText="1"/>
    </xf>
    <xf numFmtId="4" fontId="38" fillId="24" borderId="0" xfId="0" applyNumberFormat="1" applyFont="1" applyFill="1" applyAlignment="1">
      <alignment horizontal="right" vertical="center" wrapText="1"/>
    </xf>
    <xf numFmtId="0" fontId="24" fillId="0" borderId="0" xfId="0" applyFont="1" applyAlignment="1">
      <alignment horizontal="center" vertical="center"/>
    </xf>
    <xf numFmtId="4" fontId="43" fillId="0" borderId="0" xfId="0" applyNumberFormat="1" applyFont="1"/>
    <xf numFmtId="0" fontId="50" fillId="23" borderId="9" xfId="31" applyFont="1" applyFill="1" applyBorder="1" applyAlignment="1">
      <alignment horizontal="center" vertical="center" wrapText="1"/>
    </xf>
    <xf numFmtId="0" fontId="50" fillId="23" borderId="36" xfId="31" applyFont="1" applyFill="1" applyBorder="1" applyAlignment="1">
      <alignment horizontal="center" vertical="center" wrapText="1"/>
    </xf>
    <xf numFmtId="0" fontId="50" fillId="23" borderId="37" xfId="31" applyFont="1" applyFill="1" applyBorder="1" applyAlignment="1">
      <alignment horizontal="center" vertical="center" wrapText="1"/>
    </xf>
    <xf numFmtId="0" fontId="43" fillId="0" borderId="40" xfId="0" applyFont="1" applyBorder="1"/>
    <xf numFmtId="0" fontId="43" fillId="0" borderId="10" xfId="0" applyFont="1" applyBorder="1"/>
    <xf numFmtId="0" fontId="35" fillId="0" borderId="0" xfId="0" applyFont="1" applyAlignment="1">
      <alignment vertical="center"/>
    </xf>
    <xf numFmtId="0" fontId="51" fillId="0" borderId="0" xfId="0" applyFont="1" applyAlignment="1">
      <alignment vertical="center"/>
    </xf>
    <xf numFmtId="0" fontId="0" fillId="0" borderId="5" xfId="0" applyBorder="1"/>
    <xf numFmtId="43" fontId="2" fillId="16" borderId="5" xfId="0" applyNumberFormat="1" applyFont="1" applyFill="1" applyBorder="1"/>
    <xf numFmtId="4" fontId="0" fillId="0" borderId="5" xfId="1" applyNumberFormat="1" applyFont="1" applyFill="1" applyBorder="1"/>
    <xf numFmtId="4" fontId="4" fillId="0" borderId="5" xfId="1" applyNumberFormat="1" applyFont="1" applyFill="1" applyBorder="1"/>
    <xf numFmtId="0" fontId="4" fillId="16" borderId="5" xfId="0" applyFont="1" applyFill="1" applyBorder="1"/>
    <xf numFmtId="0" fontId="12" fillId="16" borderId="5" xfId="0" applyFont="1" applyFill="1" applyBorder="1"/>
    <xf numFmtId="4" fontId="2" fillId="16" borderId="5" xfId="1" applyNumberFormat="1" applyFont="1" applyFill="1" applyBorder="1"/>
    <xf numFmtId="0" fontId="4" fillId="0" borderId="5" xfId="0" applyFont="1" applyBorder="1"/>
    <xf numFmtId="0" fontId="0" fillId="16" borderId="5" xfId="0" applyFill="1" applyBorder="1"/>
    <xf numFmtId="0" fontId="2" fillId="16" borderId="5" xfId="0" applyFont="1" applyFill="1" applyBorder="1"/>
    <xf numFmtId="4" fontId="0" fillId="0" borderId="5" xfId="1" applyNumberFormat="1" applyFont="1" applyBorder="1"/>
    <xf numFmtId="4" fontId="0" fillId="0" borderId="5" xfId="0" applyNumberFormat="1" applyBorder="1"/>
    <xf numFmtId="0" fontId="0" fillId="0" borderId="5" xfId="0" applyBorder="1" applyAlignment="1">
      <alignment wrapText="1"/>
    </xf>
    <xf numFmtId="4" fontId="12" fillId="16" borderId="5" xfId="0" applyNumberFormat="1" applyFont="1" applyFill="1" applyBorder="1"/>
    <xf numFmtId="0" fontId="9" fillId="17" borderId="5" xfId="0" applyFont="1" applyFill="1" applyBorder="1" applyAlignment="1">
      <alignment horizontal="center" vertical="center"/>
    </xf>
    <xf numFmtId="0" fontId="2" fillId="13" borderId="0" xfId="0" applyFont="1" applyFill="1" applyAlignment="1">
      <alignment horizontal="center" vertical="center"/>
    </xf>
    <xf numFmtId="0" fontId="29" fillId="0" borderId="0" xfId="0" applyFont="1" applyAlignment="1">
      <alignment horizontal="left" vertical="center"/>
    </xf>
    <xf numFmtId="0" fontId="37" fillId="0" borderId="5" xfId="0" applyFont="1" applyBorder="1" applyAlignment="1">
      <alignment wrapText="1"/>
    </xf>
    <xf numFmtId="0" fontId="36" fillId="0" borderId="12" xfId="0" applyFont="1" applyBorder="1" applyAlignment="1">
      <alignment wrapText="1"/>
    </xf>
    <xf numFmtId="0" fontId="36" fillId="0" borderId="12" xfId="0" applyFont="1" applyBorder="1"/>
    <xf numFmtId="0" fontId="10" fillId="0" borderId="0" xfId="0" applyFont="1" applyAlignment="1">
      <alignment horizontal="left"/>
    </xf>
    <xf numFmtId="0" fontId="29" fillId="0" borderId="0" xfId="0" applyFont="1" applyAlignment="1">
      <alignment horizontal="left" vertical="center" wrapText="1"/>
    </xf>
    <xf numFmtId="0" fontId="29" fillId="0" borderId="0" xfId="0" applyFont="1" applyAlignment="1">
      <alignment horizontal="left" wrapText="1"/>
    </xf>
    <xf numFmtId="0" fontId="10" fillId="0" borderId="0" xfId="0" applyFont="1" applyAlignment="1">
      <alignment horizontal="center"/>
    </xf>
    <xf numFmtId="0" fontId="23" fillId="0" borderId="0" xfId="0" applyFont="1"/>
    <xf numFmtId="4" fontId="23" fillId="0" borderId="0" xfId="1" applyNumberFormat="1" applyFont="1" applyFill="1" applyBorder="1"/>
    <xf numFmtId="4" fontId="32" fillId="0" borderId="0" xfId="1" applyNumberFormat="1" applyFont="1" applyFill="1" applyBorder="1"/>
    <xf numFmtId="4" fontId="51" fillId="0" borderId="0" xfId="1" applyNumberFormat="1" applyFont="1" applyFill="1" applyBorder="1"/>
    <xf numFmtId="4" fontId="23" fillId="0" borderId="0" xfId="0" applyNumberFormat="1" applyFont="1"/>
    <xf numFmtId="4" fontId="23" fillId="0" borderId="0" xfId="1" quotePrefix="1" applyNumberFormat="1" applyFont="1" applyFill="1" applyBorder="1"/>
    <xf numFmtId="0" fontId="23" fillId="0" borderId="0" xfId="0" applyFont="1" applyAlignment="1">
      <alignment wrapText="1"/>
    </xf>
    <xf numFmtId="4" fontId="32" fillId="0" borderId="0" xfId="0" applyNumberFormat="1" applyFont="1"/>
    <xf numFmtId="43" fontId="23" fillId="0" borderId="0" xfId="1" applyFont="1" applyFill="1" applyBorder="1"/>
    <xf numFmtId="4" fontId="23" fillId="0" borderId="3" xfId="0" applyNumberFormat="1" applyFont="1" applyBorder="1"/>
    <xf numFmtId="0" fontId="33" fillId="0" borderId="0" xfId="0" applyFont="1" applyAlignment="1">
      <alignment vertical="center"/>
    </xf>
    <xf numFmtId="0" fontId="33" fillId="0" borderId="0" xfId="0" applyFont="1"/>
    <xf numFmtId="0" fontId="33" fillId="24" borderId="0" xfId="0" applyFont="1" applyFill="1" applyAlignment="1">
      <alignment vertical="center"/>
    </xf>
    <xf numFmtId="43" fontId="23" fillId="0" borderId="0" xfId="0" applyNumberFormat="1" applyFont="1"/>
    <xf numFmtId="43" fontId="23" fillId="0" borderId="3" xfId="0" applyNumberFormat="1" applyFont="1" applyBorder="1"/>
    <xf numFmtId="0" fontId="23" fillId="0" borderId="0" xfId="0" applyFont="1" applyAlignment="1">
      <alignment horizontal="center"/>
    </xf>
    <xf numFmtId="0" fontId="35" fillId="0" borderId="0" xfId="0" applyFont="1"/>
    <xf numFmtId="0" fontId="35" fillId="0" borderId="0" xfId="0" applyFont="1" applyAlignment="1">
      <alignment horizontal="center"/>
    </xf>
    <xf numFmtId="4" fontId="10" fillId="0" borderId="3" xfId="0" applyNumberFormat="1" applyFont="1" applyBorder="1"/>
    <xf numFmtId="4" fontId="32" fillId="24" borderId="0" xfId="1" quotePrefix="1" applyNumberFormat="1" applyFont="1" applyFill="1" applyBorder="1"/>
    <xf numFmtId="0" fontId="10" fillId="0" borderId="0" xfId="0" applyFont="1" applyAlignment="1">
      <alignment vertical="center"/>
    </xf>
    <xf numFmtId="0" fontId="37" fillId="0" borderId="5" xfId="0" applyFont="1" applyBorder="1"/>
    <xf numFmtId="0" fontId="10" fillId="24" borderId="0" xfId="0" applyFont="1" applyFill="1" applyAlignment="1">
      <alignment horizontal="center"/>
    </xf>
    <xf numFmtId="4" fontId="23" fillId="0" borderId="3" xfId="1" applyNumberFormat="1" applyFont="1" applyFill="1" applyBorder="1"/>
    <xf numFmtId="4" fontId="32" fillId="0" borderId="2" xfId="0" applyNumberFormat="1" applyFont="1" applyBorder="1"/>
    <xf numFmtId="4" fontId="4" fillId="0" borderId="0" xfId="1" quotePrefix="1" applyNumberFormat="1" applyFont="1" applyFill="1" applyBorder="1"/>
    <xf numFmtId="0" fontId="29" fillId="0" borderId="5" xfId="0" applyFont="1" applyBorder="1" applyAlignment="1">
      <alignment horizontal="left" vertical="center"/>
    </xf>
    <xf numFmtId="167" fontId="40" fillId="0" borderId="0" xfId="22" applyNumberFormat="1" applyFont="1"/>
    <xf numFmtId="0" fontId="23" fillId="0" borderId="0" xfId="0" applyFont="1" applyAlignment="1">
      <alignment horizontal="left" vertical="center"/>
    </xf>
    <xf numFmtId="4" fontId="32" fillId="24" borderId="2" xfId="0" applyNumberFormat="1" applyFont="1" applyFill="1" applyBorder="1"/>
    <xf numFmtId="43" fontId="36" fillId="0" borderId="0" xfId="1" applyFont="1" applyFill="1"/>
    <xf numFmtId="4" fontId="53" fillId="0" borderId="0" xfId="0" applyNumberFormat="1" applyFont="1"/>
    <xf numFmtId="4" fontId="32" fillId="14" borderId="2" xfId="1" applyNumberFormat="1" applyFont="1" applyFill="1" applyBorder="1"/>
    <xf numFmtId="4" fontId="32" fillId="14" borderId="2" xfId="0" applyNumberFormat="1" applyFont="1" applyFill="1" applyBorder="1"/>
    <xf numFmtId="0" fontId="0" fillId="25" borderId="5" xfId="0" applyFill="1" applyBorder="1"/>
    <xf numFmtId="4" fontId="43" fillId="0" borderId="22" xfId="0" applyNumberFormat="1" applyFont="1" applyBorder="1"/>
    <xf numFmtId="4" fontId="0" fillId="25" borderId="0" xfId="1" applyNumberFormat="1" applyFont="1" applyFill="1"/>
    <xf numFmtId="43" fontId="10" fillId="0" borderId="0" xfId="0" applyNumberFormat="1" applyFont="1"/>
    <xf numFmtId="43" fontId="35" fillId="0" borderId="0" xfId="1" applyFont="1" applyFill="1"/>
    <xf numFmtId="4" fontId="35" fillId="0" borderId="0" xfId="0" applyNumberFormat="1" applyFont="1"/>
    <xf numFmtId="43" fontId="10" fillId="0" borderId="0" xfId="1" applyFont="1" applyFill="1"/>
    <xf numFmtId="43" fontId="35" fillId="0" borderId="0" xfId="0" applyNumberFormat="1" applyFont="1"/>
    <xf numFmtId="4" fontId="10" fillId="0" borderId="0" xfId="1" applyNumberFormat="1" applyFont="1" applyFill="1"/>
    <xf numFmtId="0" fontId="31" fillId="0" borderId="0" xfId="0" applyFont="1" applyAlignment="1">
      <alignment horizontal="center" vertical="center"/>
    </xf>
    <xf numFmtId="0" fontId="10" fillId="0" borderId="0" xfId="0" applyFont="1" applyAlignment="1">
      <alignment wrapText="1"/>
    </xf>
    <xf numFmtId="0" fontId="23" fillId="0" borderId="5" xfId="0" applyFont="1" applyBorder="1" applyAlignment="1">
      <alignment horizontal="center" vertical="center"/>
    </xf>
    <xf numFmtId="0" fontId="23" fillId="0" borderId="25" xfId="0" applyFont="1" applyBorder="1" applyAlignment="1">
      <alignment horizontal="left" vertical="center" wrapText="1"/>
    </xf>
    <xf numFmtId="14" fontId="23" fillId="0" borderId="33" xfId="0" applyNumberFormat="1" applyFont="1" applyBorder="1" applyAlignment="1">
      <alignment horizontal="center" vertical="center"/>
    </xf>
    <xf numFmtId="0" fontId="23" fillId="0" borderId="7" xfId="0" applyFont="1" applyBorder="1" applyAlignment="1">
      <alignment horizontal="center" vertical="center"/>
    </xf>
    <xf numFmtId="0" fontId="36" fillId="0" borderId="0" xfId="0" applyFont="1"/>
    <xf numFmtId="0" fontId="35" fillId="0" borderId="0" xfId="0" applyFont="1" applyAlignment="1">
      <alignment horizontal="left" vertical="center" wrapText="1"/>
    </xf>
    <xf numFmtId="43" fontId="55" fillId="0" borderId="0" xfId="1" applyFont="1" applyFill="1"/>
    <xf numFmtId="0" fontId="12" fillId="0" borderId="0" xfId="0" applyFont="1" applyAlignment="1">
      <alignment horizontal="center"/>
    </xf>
    <xf numFmtId="171" fontId="2" fillId="0" borderId="0" xfId="0" applyNumberFormat="1" applyFont="1"/>
    <xf numFmtId="14" fontId="10" fillId="0" borderId="0" xfId="0" applyNumberFormat="1" applyFont="1" applyAlignment="1">
      <alignment horizontal="right"/>
    </xf>
    <xf numFmtId="0" fontId="49" fillId="22" borderId="19" xfId="31" applyFont="1" applyFill="1" applyBorder="1" applyAlignment="1">
      <alignment horizontal="center" vertical="center"/>
    </xf>
    <xf numFmtId="0" fontId="25" fillId="0" borderId="0" xfId="0" applyFont="1" applyAlignment="1">
      <alignment horizontal="center"/>
    </xf>
    <xf numFmtId="0" fontId="23" fillId="0" borderId="0" xfId="0" applyFont="1" applyAlignment="1">
      <alignment vertical="center"/>
    </xf>
    <xf numFmtId="0" fontId="13" fillId="0" borderId="0" xfId="0" applyFont="1" applyAlignment="1">
      <alignment horizontal="center" vertical="center"/>
    </xf>
    <xf numFmtId="43" fontId="5" fillId="0" borderId="0" xfId="1" applyFont="1" applyFill="1" applyBorder="1" applyAlignment="1"/>
    <xf numFmtId="43" fontId="9" fillId="0" borderId="2" xfId="1" applyFont="1" applyBorder="1" applyAlignment="1"/>
    <xf numFmtId="43" fontId="5" fillId="0" borderId="0" xfId="1" applyFont="1" applyAlignment="1"/>
    <xf numFmtId="0" fontId="50" fillId="23" borderId="41" xfId="31" applyFont="1" applyFill="1" applyBorder="1" applyAlignment="1">
      <alignment horizontal="center" vertical="center" wrapText="1"/>
    </xf>
    <xf numFmtId="0" fontId="50" fillId="23" borderId="8" xfId="31" applyFont="1" applyFill="1" applyBorder="1" applyAlignment="1">
      <alignment horizontal="center" vertical="center" wrapText="1"/>
    </xf>
    <xf numFmtId="4" fontId="43" fillId="0" borderId="35" xfId="0" applyNumberFormat="1" applyFont="1" applyBorder="1"/>
    <xf numFmtId="4" fontId="44" fillId="0" borderId="0" xfId="0" applyNumberFormat="1" applyFont="1"/>
    <xf numFmtId="4" fontId="19" fillId="0" borderId="0" xfId="0" applyNumberFormat="1" applyFont="1"/>
    <xf numFmtId="4" fontId="43" fillId="0" borderId="39" xfId="0" applyNumberFormat="1" applyFont="1" applyBorder="1"/>
    <xf numFmtId="43" fontId="9" fillId="0" borderId="2" xfId="0" applyNumberFormat="1" applyFont="1" applyBorder="1"/>
    <xf numFmtId="0" fontId="17" fillId="0" borderId="0" xfId="22" applyFont="1" applyAlignment="1">
      <alignment horizontal="center"/>
    </xf>
    <xf numFmtId="43" fontId="4" fillId="0" borderId="0" xfId="1" applyFont="1"/>
    <xf numFmtId="0" fontId="30" fillId="0" borderId="0" xfId="0" applyFont="1" applyAlignment="1">
      <alignment horizontal="center"/>
    </xf>
    <xf numFmtId="0" fontId="5" fillId="0" borderId="0" xfId="0" applyFont="1" applyAlignment="1">
      <alignment horizontal="center"/>
    </xf>
    <xf numFmtId="43" fontId="0" fillId="0" borderId="0" xfId="0" applyNumberFormat="1" applyAlignment="1">
      <alignment horizontal="center"/>
    </xf>
    <xf numFmtId="43" fontId="4" fillId="0" borderId="0" xfId="1" applyFont="1" applyFill="1" applyAlignment="1">
      <alignment horizontal="center"/>
    </xf>
    <xf numFmtId="0" fontId="29" fillId="0" borderId="0" xfId="0" applyFont="1" applyAlignment="1">
      <alignment horizontal="justify" vertical="justify"/>
    </xf>
    <xf numFmtId="43" fontId="10" fillId="0" borderId="0" xfId="1" applyFont="1" applyAlignment="1">
      <alignment horizontal="left" wrapText="1"/>
    </xf>
    <xf numFmtId="43" fontId="12" fillId="0" borderId="0" xfId="0" applyNumberFormat="1" applyFont="1" applyAlignment="1">
      <alignment horizontal="center"/>
    </xf>
    <xf numFmtId="0" fontId="36" fillId="0" borderId="5" xfId="0" applyFont="1" applyBorder="1" applyAlignment="1">
      <alignment wrapText="1"/>
    </xf>
    <xf numFmtId="4" fontId="1" fillId="0" borderId="5" xfId="1" applyNumberFormat="1" applyFont="1" applyFill="1" applyBorder="1"/>
    <xf numFmtId="0" fontId="50" fillId="23" borderId="8" xfId="0" applyFont="1" applyFill="1" applyBorder="1" applyAlignment="1">
      <alignment horizontal="center" vertical="center" wrapText="1"/>
    </xf>
    <xf numFmtId="4" fontId="32" fillId="14" borderId="0" xfId="0" applyNumberFormat="1" applyFont="1" applyFill="1"/>
    <xf numFmtId="43" fontId="5" fillId="0" borderId="0" xfId="1" applyFont="1"/>
    <xf numFmtId="39" fontId="5" fillId="0" borderId="3" xfId="1" applyNumberFormat="1" applyFont="1" applyFill="1" applyBorder="1"/>
    <xf numFmtId="43" fontId="5" fillId="0" borderId="3" xfId="1" applyFont="1" applyFill="1" applyBorder="1"/>
    <xf numFmtId="39" fontId="5" fillId="0" borderId="3" xfId="1" applyNumberFormat="1" applyFont="1" applyBorder="1"/>
    <xf numFmtId="43" fontId="9" fillId="0" borderId="2" xfId="1" applyFont="1" applyBorder="1"/>
    <xf numFmtId="4" fontId="32" fillId="26" borderId="2" xfId="0" applyNumberFormat="1" applyFont="1" applyFill="1" applyBorder="1"/>
    <xf numFmtId="4" fontId="32" fillId="26" borderId="0" xfId="0" applyNumberFormat="1" applyFont="1" applyFill="1"/>
    <xf numFmtId="4" fontId="37" fillId="0" borderId="0" xfId="0" applyNumberFormat="1" applyFont="1"/>
    <xf numFmtId="4" fontId="45" fillId="0" borderId="0" xfId="0" applyNumberFormat="1" applyFont="1"/>
    <xf numFmtId="4" fontId="33" fillId="0" borderId="0" xfId="0" applyNumberFormat="1" applyFont="1"/>
    <xf numFmtId="0" fontId="36" fillId="0" borderId="0" xfId="0" applyFont="1" applyAlignment="1">
      <alignment horizontal="center"/>
    </xf>
    <xf numFmtId="0" fontId="37" fillId="0" borderId="0" xfId="0" applyFont="1"/>
    <xf numFmtId="0" fontId="49" fillId="22" borderId="14" xfId="31" applyFont="1" applyFill="1" applyBorder="1" applyAlignment="1">
      <alignment horizontal="center" vertical="center" wrapText="1"/>
    </xf>
    <xf numFmtId="0" fontId="61" fillId="0" borderId="0" xfId="0" applyFont="1"/>
    <xf numFmtId="43" fontId="36" fillId="0" borderId="5" xfId="1" applyFont="1" applyFill="1" applyBorder="1" applyAlignment="1">
      <alignment wrapText="1"/>
    </xf>
    <xf numFmtId="43" fontId="37" fillId="0" borderId="5" xfId="1" applyFont="1" applyFill="1" applyBorder="1" applyAlignment="1">
      <alignment wrapText="1"/>
    </xf>
    <xf numFmtId="4" fontId="44" fillId="0" borderId="42" xfId="0" applyNumberFormat="1" applyFont="1" applyBorder="1"/>
    <xf numFmtId="4" fontId="44" fillId="0" borderId="27" xfId="0" applyNumberFormat="1" applyFont="1" applyBorder="1"/>
    <xf numFmtId="0" fontId="43" fillId="0" borderId="16" xfId="0" applyFont="1" applyBorder="1"/>
    <xf numFmtId="0" fontId="43" fillId="0" borderId="20" xfId="0" applyFont="1" applyBorder="1"/>
    <xf numFmtId="43" fontId="23" fillId="0" borderId="0" xfId="1" applyFont="1" applyFill="1"/>
    <xf numFmtId="14" fontId="23" fillId="0" borderId="23" xfId="0" applyNumberFormat="1" applyFont="1" applyBorder="1" applyAlignment="1">
      <alignment horizontal="center" vertical="center"/>
    </xf>
    <xf numFmtId="4" fontId="2" fillId="13" borderId="17" xfId="0" applyNumberFormat="1" applyFont="1" applyFill="1" applyBorder="1" applyAlignment="1">
      <alignment horizontal="center" vertical="center"/>
    </xf>
    <xf numFmtId="4" fontId="2" fillId="13" borderId="43" xfId="0" applyNumberFormat="1" applyFont="1" applyFill="1" applyBorder="1" applyAlignment="1">
      <alignment horizontal="center" vertical="center"/>
    </xf>
    <xf numFmtId="0" fontId="64" fillId="0" borderId="0" xfId="0" applyFont="1"/>
    <xf numFmtId="43" fontId="65" fillId="0" borderId="0" xfId="1" applyFont="1" applyFill="1"/>
    <xf numFmtId="0" fontId="29" fillId="0" borderId="0" xfId="0" applyFont="1" applyAlignment="1">
      <alignment horizontal="left" vertical="justify"/>
    </xf>
    <xf numFmtId="43" fontId="0" fillId="24" borderId="0" xfId="1" applyFont="1" applyFill="1"/>
    <xf numFmtId="43" fontId="0" fillId="24" borderId="0" xfId="0" applyNumberFormat="1" applyFill="1"/>
    <xf numFmtId="4" fontId="35" fillId="0" borderId="0" xfId="1" applyNumberFormat="1" applyFont="1" applyFill="1" applyBorder="1"/>
    <xf numFmtId="15" fontId="15" fillId="10" borderId="10" xfId="22" applyNumberFormat="1" applyFont="1" applyFill="1" applyBorder="1" applyAlignment="1">
      <alignment horizontal="center"/>
    </xf>
    <xf numFmtId="0" fontId="15" fillId="10" borderId="8" xfId="22" applyFont="1" applyFill="1" applyBorder="1" applyAlignment="1">
      <alignment horizontal="center"/>
    </xf>
    <xf numFmtId="39" fontId="15" fillId="10" borderId="0" xfId="23" applyNumberFormat="1" applyFont="1" applyFill="1" applyBorder="1" applyAlignment="1">
      <alignment horizontal="left" vertical="center" wrapText="1"/>
    </xf>
    <xf numFmtId="43" fontId="36" fillId="0" borderId="0" xfId="1" applyFont="1" applyFill="1" applyAlignment="1">
      <alignment vertical="center"/>
    </xf>
    <xf numFmtId="43" fontId="36" fillId="0" borderId="0" xfId="0" applyNumberFormat="1" applyFont="1"/>
    <xf numFmtId="43" fontId="68" fillId="0" borderId="0" xfId="1" applyFont="1" applyFill="1"/>
    <xf numFmtId="43" fontId="68" fillId="0" borderId="0" xfId="0" applyNumberFormat="1" applyFont="1"/>
    <xf numFmtId="43" fontId="68" fillId="0" borderId="0" xfId="1" applyFont="1"/>
    <xf numFmtId="4" fontId="36" fillId="0" borderId="0" xfId="1" applyNumberFormat="1" applyFont="1" applyFill="1"/>
    <xf numFmtId="43" fontId="36" fillId="0" borderId="0" xfId="1" applyFont="1"/>
    <xf numFmtId="4" fontId="53" fillId="0" borderId="0" xfId="1" applyNumberFormat="1" applyFont="1" applyFill="1" applyBorder="1"/>
    <xf numFmtId="0" fontId="68" fillId="0" borderId="0" xfId="0" applyFont="1"/>
    <xf numFmtId="0" fontId="42" fillId="16" borderId="0" xfId="0" applyFont="1" applyFill="1"/>
    <xf numFmtId="4" fontId="43" fillId="16" borderId="0" xfId="0" applyNumberFormat="1" applyFont="1" applyFill="1"/>
    <xf numFmtId="4" fontId="43" fillId="16" borderId="0" xfId="0" applyNumberFormat="1" applyFont="1" applyFill="1" applyAlignment="1">
      <alignment horizontal="right"/>
    </xf>
    <xf numFmtId="0" fontId="43" fillId="16" borderId="0" xfId="0" applyFont="1" applyFill="1"/>
    <xf numFmtId="0" fontId="0" fillId="16" borderId="0" xfId="0" applyFill="1"/>
    <xf numFmtId="0" fontId="36" fillId="0" borderId="0" xfId="0" applyFont="1" applyAlignment="1">
      <alignment horizontal="right"/>
    </xf>
    <xf numFmtId="14" fontId="23" fillId="0" borderId="0" xfId="0" applyNumberFormat="1" applyFont="1" applyAlignment="1">
      <alignment vertical="center"/>
    </xf>
    <xf numFmtId="1" fontId="0" fillId="0" borderId="0" xfId="0" applyNumberFormat="1"/>
    <xf numFmtId="4" fontId="63" fillId="0" borderId="0" xfId="1" quotePrefix="1" applyNumberFormat="1" applyFont="1" applyFill="1" applyBorder="1"/>
    <xf numFmtId="0" fontId="23" fillId="0" borderId="0" xfId="0" applyFont="1" applyAlignment="1">
      <alignment horizontal="left" vertical="justify"/>
    </xf>
    <xf numFmtId="16" fontId="6" fillId="0" borderId="6" xfId="22" applyNumberFormat="1" applyFont="1" applyBorder="1" applyAlignment="1">
      <alignment horizontal="left" vertical="center" wrapText="1"/>
    </xf>
    <xf numFmtId="0" fontId="2" fillId="0" borderId="0" xfId="0" applyFont="1" applyAlignment="1">
      <alignment horizontal="center"/>
    </xf>
    <xf numFmtId="43" fontId="9" fillId="0" borderId="0" xfId="1" applyFont="1" applyFill="1"/>
    <xf numFmtId="4" fontId="11" fillId="0" borderId="0" xfId="0" applyNumberFormat="1" applyFont="1"/>
    <xf numFmtId="15" fontId="15" fillId="0" borderId="5" xfId="23" applyNumberFormat="1" applyFont="1" applyFill="1" applyBorder="1" applyAlignment="1">
      <alignment horizontal="center" vertical="center"/>
    </xf>
    <xf numFmtId="168" fontId="15" fillId="0" borderId="5" xfId="22" applyNumberFormat="1" applyFont="1" applyBorder="1" applyAlignment="1">
      <alignment vertical="center"/>
    </xf>
    <xf numFmtId="0" fontId="0" fillId="0" borderId="38" xfId="0" applyBorder="1"/>
    <xf numFmtId="4" fontId="37" fillId="0" borderId="0" xfId="0" applyNumberFormat="1" applyFont="1" applyAlignment="1">
      <alignment wrapText="1"/>
    </xf>
    <xf numFmtId="4" fontId="44" fillId="27" borderId="45" xfId="0" applyNumberFormat="1" applyFont="1" applyFill="1" applyBorder="1" applyAlignment="1">
      <alignment vertical="center"/>
    </xf>
    <xf numFmtId="4" fontId="53" fillId="0" borderId="0" xfId="0" applyNumberFormat="1" applyFont="1" applyAlignment="1">
      <alignment horizontal="center" wrapText="1"/>
    </xf>
    <xf numFmtId="0" fontId="23" fillId="0" borderId="5" xfId="0" applyFont="1" applyBorder="1" applyAlignment="1">
      <alignment vertical="center" wrapText="1"/>
    </xf>
    <xf numFmtId="0" fontId="32" fillId="0" borderId="0" xfId="0" applyFont="1" applyAlignment="1">
      <alignment horizontal="center" vertical="center" wrapText="1"/>
    </xf>
    <xf numFmtId="49" fontId="23" fillId="0" borderId="0" xfId="0" applyNumberFormat="1" applyFont="1"/>
    <xf numFmtId="49" fontId="23" fillId="0" borderId="0" xfId="0" applyNumberFormat="1" applyFont="1" applyAlignment="1">
      <alignment horizontal="center"/>
    </xf>
    <xf numFmtId="49" fontId="32" fillId="0" borderId="0" xfId="0" applyNumberFormat="1" applyFont="1" applyAlignment="1">
      <alignment vertical="center"/>
    </xf>
    <xf numFmtId="0" fontId="32" fillId="0" borderId="0" xfId="0" applyFont="1" applyAlignment="1">
      <alignment horizontal="right"/>
    </xf>
    <xf numFmtId="4" fontId="23" fillId="0" borderId="0" xfId="0" applyNumberFormat="1" applyFont="1" applyAlignment="1">
      <alignment horizontal="left"/>
    </xf>
    <xf numFmtId="0" fontId="32" fillId="0" borderId="0" xfId="0" applyFont="1" applyAlignment="1">
      <alignment vertical="center"/>
    </xf>
    <xf numFmtId="4" fontId="32" fillId="0" borderId="0" xfId="0" applyNumberFormat="1" applyFont="1" applyAlignment="1">
      <alignment horizontal="center" vertical="center"/>
    </xf>
    <xf numFmtId="4" fontId="23" fillId="0" borderId="0" xfId="0" applyNumberFormat="1" applyFont="1" applyAlignment="1">
      <alignment vertical="center"/>
    </xf>
    <xf numFmtId="4" fontId="32" fillId="0" borderId="0" xfId="0" applyNumberFormat="1" applyFont="1" applyAlignment="1">
      <alignment horizontal="center" vertical="center" wrapText="1"/>
    </xf>
    <xf numFmtId="43" fontId="23" fillId="0" borderId="0" xfId="1" applyFont="1" applyFill="1" applyBorder="1" applyAlignment="1">
      <alignment horizontal="center"/>
    </xf>
    <xf numFmtId="4" fontId="2" fillId="0" borderId="0" xfId="1" applyNumberFormat="1" applyFont="1" applyFill="1" applyBorder="1"/>
    <xf numFmtId="4" fontId="32" fillId="26" borderId="4" xfId="0" applyNumberFormat="1" applyFont="1" applyFill="1" applyBorder="1"/>
    <xf numFmtId="4" fontId="0" fillId="0" borderId="0" xfId="1" applyNumberFormat="1" applyFont="1" applyFill="1" applyBorder="1"/>
    <xf numFmtId="0" fontId="52" fillId="0" borderId="0" xfId="0" applyFont="1" applyAlignment="1">
      <alignment horizontal="center"/>
    </xf>
    <xf numFmtId="0" fontId="36" fillId="0" borderId="29" xfId="0" applyFont="1" applyBorder="1" applyAlignment="1">
      <alignment wrapText="1"/>
    </xf>
    <xf numFmtId="43" fontId="11" fillId="0" borderId="0" xfId="0" applyNumberFormat="1" applyFont="1"/>
    <xf numFmtId="4" fontId="67" fillId="0" borderId="0" xfId="0" applyNumberFormat="1" applyFont="1"/>
    <xf numFmtId="43" fontId="63" fillId="0" borderId="0" xfId="0" applyNumberFormat="1" applyFont="1"/>
    <xf numFmtId="43" fontId="0" fillId="0" borderId="0" xfId="1" applyFont="1" applyFill="1" applyAlignment="1">
      <alignment horizontal="right"/>
    </xf>
    <xf numFmtId="43" fontId="0" fillId="0" borderId="0" xfId="1" applyFont="1" applyFill="1" applyBorder="1" applyAlignment="1">
      <alignment horizontal="right"/>
    </xf>
    <xf numFmtId="0" fontId="23" fillId="0" borderId="0" xfId="0" applyFont="1" applyAlignment="1">
      <alignment horizontal="left" wrapText="1"/>
    </xf>
    <xf numFmtId="0" fontId="17" fillId="0" borderId="0" xfId="22" applyFont="1" applyAlignment="1">
      <alignment horizontal="right"/>
    </xf>
    <xf numFmtId="0" fontId="34" fillId="0" borderId="44" xfId="0" applyFont="1" applyBorder="1" applyAlignment="1">
      <alignment horizontal="center"/>
    </xf>
    <xf numFmtId="0" fontId="10" fillId="0" borderId="22" xfId="0" applyFont="1" applyBorder="1" applyAlignment="1">
      <alignment horizontal="left"/>
    </xf>
    <xf numFmtId="4" fontId="12" fillId="0" borderId="21" xfId="0" applyNumberFormat="1" applyFont="1" applyBorder="1"/>
    <xf numFmtId="4" fontId="10" fillId="0" borderId="46" xfId="0" applyNumberFormat="1" applyFont="1" applyBorder="1"/>
    <xf numFmtId="14" fontId="23" fillId="0" borderId="28" xfId="0" applyNumberFormat="1" applyFont="1" applyBorder="1" applyAlignment="1">
      <alignment horizontal="center" vertical="center"/>
    </xf>
    <xf numFmtId="0" fontId="23" fillId="0" borderId="7" xfId="0" applyFont="1" applyBorder="1" applyAlignment="1">
      <alignment vertical="center" wrapText="1"/>
    </xf>
    <xf numFmtId="0" fontId="2" fillId="0" borderId="22" xfId="0" applyFont="1" applyBorder="1" applyAlignment="1">
      <alignment horizontal="center"/>
    </xf>
    <xf numFmtId="0" fontId="15" fillId="0" borderId="0" xfId="22" applyFont="1" applyAlignment="1">
      <alignment vertical="center"/>
    </xf>
    <xf numFmtId="0" fontId="22" fillId="0" borderId="0" xfId="22" applyAlignment="1">
      <alignment vertical="center"/>
    </xf>
    <xf numFmtId="4" fontId="16" fillId="12" borderId="17" xfId="22" applyNumberFormat="1" applyFont="1" applyFill="1" applyBorder="1" applyAlignment="1">
      <alignment horizontal="center" vertical="center" wrapText="1"/>
    </xf>
    <xf numFmtId="170" fontId="23" fillId="0" borderId="0" xfId="0" applyNumberFormat="1" applyFont="1"/>
    <xf numFmtId="4" fontId="1" fillId="16" borderId="5" xfId="1" applyNumberFormat="1" applyFont="1" applyFill="1" applyBorder="1"/>
    <xf numFmtId="43" fontId="10" fillId="0" borderId="0" xfId="0" applyNumberFormat="1" applyFont="1" applyAlignment="1">
      <alignment horizontal="left" wrapText="1"/>
    </xf>
    <xf numFmtId="0" fontId="0" fillId="11" borderId="0" xfId="0" applyFill="1"/>
    <xf numFmtId="43" fontId="0" fillId="11" borderId="0" xfId="1" applyFont="1" applyFill="1"/>
    <xf numFmtId="43" fontId="74" fillId="11" borderId="0" xfId="1" applyFont="1" applyFill="1"/>
    <xf numFmtId="0" fontId="75" fillId="13" borderId="8" xfId="22" applyFont="1" applyFill="1" applyBorder="1" applyAlignment="1">
      <alignment vertical="center"/>
    </xf>
    <xf numFmtId="0" fontId="75" fillId="13" borderId="8" xfId="22" applyFont="1" applyFill="1" applyBorder="1" applyAlignment="1">
      <alignment horizontal="center" vertical="center"/>
    </xf>
    <xf numFmtId="4" fontId="4" fillId="28" borderId="5" xfId="1" applyNumberFormat="1" applyFont="1" applyFill="1" applyBorder="1"/>
    <xf numFmtId="4" fontId="0" fillId="28" borderId="5" xfId="1" applyNumberFormat="1" applyFont="1" applyFill="1" applyBorder="1"/>
    <xf numFmtId="43" fontId="10" fillId="0" borderId="0" xfId="1" applyFont="1"/>
    <xf numFmtId="4" fontId="10" fillId="11" borderId="0" xfId="0" applyNumberFormat="1" applyFont="1" applyFill="1"/>
    <xf numFmtId="43" fontId="23" fillId="0" borderId="0" xfId="1" applyFont="1"/>
    <xf numFmtId="0" fontId="76" fillId="0" borderId="0" xfId="0" applyFont="1"/>
    <xf numFmtId="0" fontId="77" fillId="0" borderId="0" xfId="0" applyFont="1"/>
    <xf numFmtId="39" fontId="76" fillId="0" borderId="4" xfId="0" applyNumberFormat="1" applyFont="1" applyBorder="1"/>
    <xf numFmtId="43" fontId="78" fillId="29" borderId="0" xfId="22" applyNumberFormat="1" applyFont="1" applyFill="1"/>
    <xf numFmtId="167" fontId="18" fillId="0" borderId="0" xfId="22" applyNumberFormat="1" applyFont="1"/>
    <xf numFmtId="43" fontId="22" fillId="0" borderId="0" xfId="1" applyFont="1"/>
    <xf numFmtId="43" fontId="23" fillId="0" borderId="0" xfId="0" applyNumberFormat="1" applyFont="1" applyAlignment="1">
      <alignment horizontal="center"/>
    </xf>
    <xf numFmtId="0" fontId="53" fillId="13" borderId="0" xfId="0" applyFont="1" applyFill="1" applyAlignment="1">
      <alignment horizontal="center" vertical="center"/>
    </xf>
    <xf numFmtId="0" fontId="65" fillId="0" borderId="0" xfId="0" applyFont="1" applyAlignment="1">
      <alignment horizontal="center"/>
    </xf>
    <xf numFmtId="0" fontId="53" fillId="0" borderId="0" xfId="0" applyFont="1" applyAlignment="1">
      <alignment horizontal="center"/>
    </xf>
    <xf numFmtId="4" fontId="36" fillId="0" borderId="0" xfId="0" applyNumberFormat="1" applyFont="1" applyAlignment="1">
      <alignment horizontal="center"/>
    </xf>
    <xf numFmtId="172" fontId="65" fillId="0" borderId="0" xfId="0" applyNumberFormat="1" applyFont="1" applyAlignment="1">
      <alignment horizontal="center"/>
    </xf>
    <xf numFmtId="0" fontId="79" fillId="0" borderId="0" xfId="0" applyFont="1" applyAlignment="1">
      <alignment vertical="center"/>
    </xf>
    <xf numFmtId="0" fontId="53" fillId="0" borderId="0" xfId="0" applyFont="1" applyAlignment="1">
      <alignment horizontal="left"/>
    </xf>
    <xf numFmtId="0" fontId="53" fillId="0" borderId="0" xfId="0" applyFont="1"/>
    <xf numFmtId="0" fontId="53" fillId="24" borderId="0" xfId="0" applyFont="1" applyFill="1" applyAlignment="1">
      <alignment horizontal="center"/>
    </xf>
    <xf numFmtId="0" fontId="80" fillId="24" borderId="0" xfId="0" applyFont="1" applyFill="1" applyAlignment="1">
      <alignment horizontal="center"/>
    </xf>
    <xf numFmtId="4" fontId="80" fillId="0" borderId="0" xfId="0" applyNumberFormat="1" applyFont="1"/>
    <xf numFmtId="4" fontId="2" fillId="16" borderId="5" xfId="0" applyNumberFormat="1" applyFont="1" applyFill="1" applyBorder="1"/>
    <xf numFmtId="4" fontId="84" fillId="0" borderId="5" xfId="1" applyNumberFormat="1" applyFont="1" applyFill="1" applyBorder="1"/>
    <xf numFmtId="4" fontId="10" fillId="0" borderId="0" xfId="0" applyNumberFormat="1" applyFont="1" applyAlignment="1">
      <alignment wrapText="1"/>
    </xf>
    <xf numFmtId="0" fontId="23" fillId="0" borderId="26" xfId="0" applyFont="1" applyBorder="1" applyAlignment="1">
      <alignment horizontal="justify" vertical="justify" wrapText="1"/>
    </xf>
    <xf numFmtId="43" fontId="32" fillId="0" borderId="0" xfId="1" applyFont="1" applyFill="1" applyAlignment="1">
      <alignment horizontal="left" vertical="center"/>
    </xf>
    <xf numFmtId="4" fontId="32" fillId="0" borderId="0" xfId="1" applyNumberFormat="1" applyFont="1" applyFill="1" applyBorder="1" applyAlignment="1">
      <alignment horizontal="right" vertical="center"/>
    </xf>
    <xf numFmtId="14" fontId="23" fillId="0" borderId="34" xfId="0" applyNumberFormat="1" applyFont="1" applyBorder="1" applyAlignment="1">
      <alignment horizontal="left" vertical="center"/>
    </xf>
    <xf numFmtId="0" fontId="31" fillId="15" borderId="17" xfId="0" applyFont="1" applyFill="1" applyBorder="1" applyAlignment="1">
      <alignment horizontal="center" vertical="center"/>
    </xf>
    <xf numFmtId="4" fontId="23" fillId="0" borderId="5" xfId="0" applyNumberFormat="1" applyFont="1" applyBorder="1" applyAlignment="1">
      <alignment vertical="center"/>
    </xf>
    <xf numFmtId="0" fontId="23" fillId="0" borderId="0" xfId="0" applyFont="1" applyAlignment="1">
      <alignment horizontal="left" vertical="center" wrapText="1"/>
    </xf>
    <xf numFmtId="4" fontId="0" fillId="28" borderId="0" xfId="0" applyNumberFormat="1" applyFill="1" applyAlignment="1">
      <alignment horizontal="right"/>
    </xf>
    <xf numFmtId="4" fontId="4" fillId="28" borderId="0" xfId="0" applyNumberFormat="1" applyFont="1" applyFill="1" applyAlignment="1">
      <alignment horizontal="right"/>
    </xf>
    <xf numFmtId="4" fontId="0" fillId="28" borderId="29" xfId="0" applyNumberFormat="1" applyFill="1" applyBorder="1" applyAlignment="1">
      <alignment horizontal="right"/>
    </xf>
    <xf numFmtId="4" fontId="2" fillId="0" borderId="0" xfId="1" applyNumberFormat="1" applyFont="1" applyFill="1" applyBorder="1" applyAlignment="1">
      <alignment wrapText="1"/>
    </xf>
    <xf numFmtId="43" fontId="65" fillId="26" borderId="0" xfId="0" applyNumberFormat="1" applyFont="1" applyFill="1"/>
    <xf numFmtId="4" fontId="65" fillId="26" borderId="0" xfId="0" applyNumberFormat="1" applyFont="1" applyFill="1"/>
    <xf numFmtId="0" fontId="0" fillId="26" borderId="0" xfId="0" applyFill="1"/>
    <xf numFmtId="4" fontId="65" fillId="26" borderId="0" xfId="1" applyNumberFormat="1" applyFont="1" applyFill="1" applyBorder="1" applyAlignment="1">
      <alignment wrapText="1"/>
    </xf>
    <xf numFmtId="43" fontId="65" fillId="26" borderId="0" xfId="1" applyFont="1" applyFill="1"/>
    <xf numFmtId="43" fontId="0" fillId="26" borderId="0" xfId="0" applyNumberFormat="1" applyFill="1"/>
    <xf numFmtId="43" fontId="33" fillId="26" borderId="0" xfId="0" applyNumberFormat="1" applyFont="1" applyFill="1"/>
    <xf numFmtId="4" fontId="0" fillId="26" borderId="0" xfId="0" applyNumberFormat="1" applyFill="1"/>
    <xf numFmtId="43" fontId="2" fillId="0" borderId="0" xfId="0" applyNumberFormat="1" applyFont="1" applyAlignment="1">
      <alignment horizontal="center" vertical="center"/>
    </xf>
    <xf numFmtId="43" fontId="0" fillId="0" borderId="0" xfId="1" applyFont="1" applyAlignment="1">
      <alignment horizontal="center" vertical="center"/>
    </xf>
    <xf numFmtId="43" fontId="22" fillId="0" borderId="0" xfId="22" applyNumberFormat="1" applyAlignment="1">
      <alignment horizontal="center" vertical="center"/>
    </xf>
    <xf numFmtId="0" fontId="22" fillId="0" borderId="0" xfId="22" applyAlignment="1">
      <alignment horizontal="center" vertical="center"/>
    </xf>
    <xf numFmtId="43" fontId="18" fillId="0" borderId="0" xfId="22" applyNumberFormat="1" applyFont="1" applyAlignment="1">
      <alignment horizontal="center"/>
    </xf>
    <xf numFmtId="43" fontId="33" fillId="0" borderId="0" xfId="1" applyFont="1" applyAlignment="1">
      <alignment horizontal="left" wrapText="1"/>
    </xf>
    <xf numFmtId="43" fontId="10" fillId="0" borderId="0" xfId="1" applyFont="1" applyFill="1" applyAlignment="1">
      <alignment horizontal="right"/>
    </xf>
    <xf numFmtId="4" fontId="54" fillId="0" borderId="38" xfId="0" applyNumberFormat="1" applyFont="1" applyBorder="1"/>
    <xf numFmtId="4" fontId="44" fillId="27" borderId="0" xfId="0" applyNumberFormat="1" applyFont="1" applyFill="1" applyAlignment="1">
      <alignment vertical="center"/>
    </xf>
    <xf numFmtId="4" fontId="0" fillId="29" borderId="0" xfId="1" applyNumberFormat="1" applyFont="1" applyFill="1"/>
    <xf numFmtId="4" fontId="53" fillId="0" borderId="0" xfId="0" applyNumberFormat="1" applyFont="1" applyAlignment="1">
      <alignment horizontal="right"/>
    </xf>
    <xf numFmtId="4" fontId="0" fillId="30" borderId="0" xfId="1" applyNumberFormat="1" applyFont="1" applyFill="1"/>
    <xf numFmtId="4" fontId="33" fillId="31" borderId="5" xfId="1" applyNumberFormat="1" applyFont="1" applyFill="1" applyBorder="1" applyAlignment="1">
      <alignment wrapText="1"/>
    </xf>
    <xf numFmtId="4" fontId="4" fillId="0" borderId="0" xfId="0" applyNumberFormat="1" applyFont="1" applyAlignment="1">
      <alignment horizontal="center"/>
    </xf>
    <xf numFmtId="14" fontId="23" fillId="0" borderId="0" xfId="0" applyNumberFormat="1" applyFont="1" applyAlignment="1">
      <alignment horizontal="center" vertical="center"/>
    </xf>
    <xf numFmtId="4" fontId="23" fillId="28" borderId="24" xfId="0" applyNumberFormat="1" applyFont="1" applyFill="1" applyBorder="1" applyAlignment="1">
      <alignment vertical="center"/>
    </xf>
    <xf numFmtId="4" fontId="10" fillId="0" borderId="0" xfId="0" applyNumberFormat="1" applyFont="1" applyAlignment="1">
      <alignment vertical="center"/>
    </xf>
    <xf numFmtId="43" fontId="33" fillId="0" borderId="0" xfId="0" applyNumberFormat="1" applyFont="1"/>
    <xf numFmtId="0" fontId="2" fillId="0" borderId="0" xfId="0" applyFont="1" applyAlignment="1">
      <alignment horizontal="right" vertical="center"/>
    </xf>
    <xf numFmtId="0" fontId="11" fillId="0" borderId="0" xfId="0" applyFont="1" applyAlignment="1">
      <alignment horizontal="right"/>
    </xf>
    <xf numFmtId="0" fontId="4" fillId="0" borderId="0" xfId="0" applyFont="1" applyAlignment="1">
      <alignment horizontal="right"/>
    </xf>
    <xf numFmtId="0" fontId="4" fillId="0" borderId="0" xfId="0" applyFont="1" applyAlignment="1">
      <alignment horizontal="center"/>
    </xf>
    <xf numFmtId="4" fontId="4" fillId="0" borderId="0" xfId="0" applyNumberFormat="1" applyFont="1" applyAlignment="1">
      <alignment horizontal="right"/>
    </xf>
    <xf numFmtId="43" fontId="0" fillId="0" borderId="0" xfId="1" applyFont="1" applyFill="1" applyAlignment="1">
      <alignment horizontal="center"/>
    </xf>
    <xf numFmtId="0" fontId="57" fillId="0" borderId="0" xfId="0" applyFont="1" applyAlignment="1">
      <alignment horizontal="right"/>
    </xf>
    <xf numFmtId="172" fontId="56" fillId="0" borderId="0" xfId="0" applyNumberFormat="1" applyFont="1" applyAlignment="1">
      <alignment horizontal="right"/>
    </xf>
    <xf numFmtId="172" fontId="0" fillId="0" borderId="0" xfId="0" applyNumberFormat="1" applyAlignment="1">
      <alignment horizontal="right"/>
    </xf>
    <xf numFmtId="172" fontId="4" fillId="0" borderId="0" xfId="0" applyNumberFormat="1" applyFont="1" applyAlignment="1">
      <alignment horizontal="right"/>
    </xf>
    <xf numFmtId="43" fontId="0" fillId="0" borderId="0" xfId="0" applyNumberFormat="1" applyAlignment="1">
      <alignment horizontal="right"/>
    </xf>
    <xf numFmtId="43" fontId="11" fillId="0" borderId="0" xfId="1" applyFont="1" applyFill="1" applyAlignment="1">
      <alignment horizontal="right"/>
    </xf>
    <xf numFmtId="4" fontId="0" fillId="0" borderId="0" xfId="0" applyNumberFormat="1" applyAlignment="1">
      <alignment horizontal="center"/>
    </xf>
    <xf numFmtId="43" fontId="29" fillId="0" borderId="0" xfId="1" applyFont="1" applyFill="1" applyAlignment="1">
      <alignment horizontal="right" vertical="center"/>
    </xf>
    <xf numFmtId="4" fontId="11" fillId="0" borderId="0" xfId="0" applyNumberFormat="1" applyFont="1" applyAlignment="1">
      <alignment horizontal="right"/>
    </xf>
    <xf numFmtId="0" fontId="29" fillId="0" borderId="0" xfId="0" applyFont="1" applyAlignment="1">
      <alignment horizontal="right" vertical="center"/>
    </xf>
    <xf numFmtId="43" fontId="73" fillId="0" borderId="0" xfId="1" applyFont="1" applyFill="1" applyAlignment="1">
      <alignment horizontal="right"/>
    </xf>
    <xf numFmtId="43" fontId="73" fillId="0" borderId="0" xfId="1" applyFont="1" applyFill="1" applyAlignment="1">
      <alignment horizontal="center"/>
    </xf>
    <xf numFmtId="0" fontId="74" fillId="0" borderId="0" xfId="0" applyFont="1"/>
    <xf numFmtId="43" fontId="11" fillId="0" borderId="0" xfId="1" applyFont="1" applyFill="1" applyAlignment="1">
      <alignment horizontal="center"/>
    </xf>
    <xf numFmtId="43" fontId="11" fillId="0" borderId="0" xfId="1" applyFont="1" applyFill="1"/>
    <xf numFmtId="169" fontId="0" fillId="0" borderId="0" xfId="0" applyNumberFormat="1" applyAlignment="1">
      <alignment horizontal="right"/>
    </xf>
    <xf numFmtId="4" fontId="36" fillId="0" borderId="0" xfId="0" applyNumberFormat="1" applyFont="1" applyAlignment="1">
      <alignment horizontal="right"/>
    </xf>
    <xf numFmtId="4" fontId="23" fillId="0" borderId="0" xfId="0" applyNumberFormat="1" applyFont="1" applyAlignment="1">
      <alignment horizontal="center"/>
    </xf>
    <xf numFmtId="4" fontId="37" fillId="0" borderId="0" xfId="0" applyNumberFormat="1" applyFont="1" applyAlignment="1">
      <alignment horizontal="center"/>
    </xf>
    <xf numFmtId="4" fontId="37" fillId="0" borderId="0" xfId="0" applyNumberFormat="1" applyFont="1" applyAlignment="1">
      <alignment horizontal="right"/>
    </xf>
    <xf numFmtId="4" fontId="32" fillId="0" borderId="2" xfId="1" applyNumberFormat="1" applyFont="1" applyFill="1" applyBorder="1"/>
    <xf numFmtId="4" fontId="90" fillId="0" borderId="0" xfId="0" applyNumberFormat="1" applyFont="1"/>
    <xf numFmtId="0" fontId="38" fillId="0" borderId="0" xfId="0" applyFont="1" applyAlignment="1">
      <alignment horizontal="left" vertical="center" wrapText="1"/>
    </xf>
    <xf numFmtId="0" fontId="41" fillId="18" borderId="17" xfId="19" applyFont="1" applyFill="1" applyBorder="1" applyAlignment="1">
      <alignment horizontal="center" vertical="center" wrapText="1"/>
    </xf>
    <xf numFmtId="43" fontId="5" fillId="28" borderId="0" xfId="1" applyFont="1" applyFill="1" applyAlignment="1"/>
    <xf numFmtId="4" fontId="10" fillId="28" borderId="0" xfId="0" applyNumberFormat="1" applyFont="1" applyFill="1"/>
    <xf numFmtId="0" fontId="29" fillId="0" borderId="0" xfId="0" applyFont="1" applyAlignment="1">
      <alignment horizontal="justify" vertical="justify" wrapText="1"/>
    </xf>
    <xf numFmtId="0" fontId="23" fillId="28" borderId="0" xfId="0" applyFont="1" applyFill="1" applyAlignment="1">
      <alignment horizontal="left" vertical="justify"/>
    </xf>
    <xf numFmtId="0" fontId="23" fillId="28" borderId="0" xfId="0" applyFont="1" applyFill="1"/>
    <xf numFmtId="4" fontId="32" fillId="28" borderId="0" xfId="1" applyNumberFormat="1" applyFont="1" applyFill="1" applyBorder="1"/>
    <xf numFmtId="0" fontId="23" fillId="28" borderId="0" xfId="0" applyFont="1" applyFill="1" applyAlignment="1">
      <alignment horizontal="left" vertical="center" wrapText="1"/>
    </xf>
    <xf numFmtId="0" fontId="36" fillId="28" borderId="0" xfId="0" applyFont="1" applyFill="1" applyAlignment="1">
      <alignment horizontal="center"/>
    </xf>
    <xf numFmtId="0" fontId="29" fillId="28" borderId="0" xfId="0" applyFont="1" applyFill="1" applyAlignment="1">
      <alignment horizontal="justify" vertical="justify" wrapText="1"/>
    </xf>
    <xf numFmtId="0" fontId="23" fillId="28" borderId="0" xfId="0" applyFont="1" applyFill="1" applyAlignment="1">
      <alignment horizontal="left" wrapText="1"/>
    </xf>
    <xf numFmtId="4" fontId="11" fillId="28" borderId="0" xfId="0" applyNumberFormat="1" applyFont="1" applyFill="1" applyAlignment="1">
      <alignment horizontal="right"/>
    </xf>
    <xf numFmtId="4" fontId="0" fillId="28" borderId="0" xfId="0" applyNumberFormat="1" applyFill="1" applyAlignment="1">
      <alignment horizontal="center"/>
    </xf>
    <xf numFmtId="4" fontId="4" fillId="28" borderId="0" xfId="0" applyNumberFormat="1" applyFont="1" applyFill="1"/>
    <xf numFmtId="0" fontId="11" fillId="0" borderId="0" xfId="0" applyFont="1"/>
    <xf numFmtId="0" fontId="10" fillId="0" borderId="0" xfId="0" applyFont="1" applyAlignment="1">
      <alignment horizontal="left" vertical="center"/>
    </xf>
    <xf numFmtId="4" fontId="23" fillId="28" borderId="0" xfId="0" applyNumberFormat="1" applyFont="1" applyFill="1"/>
    <xf numFmtId="4" fontId="0" fillId="28" borderId="3" xfId="0" applyNumberFormat="1" applyFill="1" applyBorder="1" applyAlignment="1">
      <alignment horizontal="right"/>
    </xf>
    <xf numFmtId="4" fontId="12" fillId="30" borderId="5" xfId="1" applyNumberFormat="1" applyFont="1" applyFill="1" applyBorder="1"/>
    <xf numFmtId="4" fontId="10" fillId="0" borderId="0" xfId="1" applyNumberFormat="1" applyFont="1" applyFill="1" applyBorder="1"/>
    <xf numFmtId="4" fontId="33" fillId="14" borderId="2" xfId="1" applyNumberFormat="1" applyFont="1" applyFill="1" applyBorder="1"/>
    <xf numFmtId="4" fontId="33" fillId="0" borderId="0" xfId="1" applyNumberFormat="1" applyFont="1" applyFill="1" applyBorder="1"/>
    <xf numFmtId="37" fontId="15" fillId="0" borderId="5" xfId="22" applyNumberFormat="1" applyFont="1" applyBorder="1" applyAlignment="1">
      <alignment vertical="center"/>
    </xf>
    <xf numFmtId="173" fontId="15" fillId="0" borderId="5" xfId="22" applyNumberFormat="1" applyFont="1" applyBorder="1" applyAlignment="1">
      <alignment vertical="center"/>
    </xf>
    <xf numFmtId="39" fontId="15" fillId="0" borderId="24" xfId="22" applyNumberFormat="1" applyFont="1" applyBorder="1" applyAlignment="1">
      <alignment vertical="center"/>
    </xf>
    <xf numFmtId="43" fontId="2" fillId="0" borderId="0" xfId="1" applyFont="1" applyAlignment="1">
      <alignment vertical="center"/>
    </xf>
    <xf numFmtId="43" fontId="29" fillId="0" borderId="0" xfId="1" applyFont="1" applyAlignment="1">
      <alignment vertical="center"/>
    </xf>
    <xf numFmtId="16" fontId="6" fillId="0" borderId="38" xfId="22" applyNumberFormat="1" applyFont="1" applyBorder="1" applyAlignment="1">
      <alignment horizontal="left" vertical="center" wrapText="1"/>
    </xf>
    <xf numFmtId="15" fontId="15" fillId="0" borderId="38" xfId="23" applyNumberFormat="1" applyFont="1" applyFill="1" applyBorder="1" applyAlignment="1">
      <alignment horizontal="center" vertical="center"/>
    </xf>
    <xf numFmtId="168" fontId="15" fillId="0" borderId="38" xfId="22" applyNumberFormat="1" applyFont="1" applyBorder="1" applyAlignment="1">
      <alignment vertical="center"/>
    </xf>
    <xf numFmtId="167" fontId="15" fillId="0" borderId="38" xfId="22" applyNumberFormat="1" applyFont="1" applyBorder="1" applyAlignment="1">
      <alignment vertical="center"/>
    </xf>
    <xf numFmtId="39" fontId="15" fillId="0" borderId="38" xfId="22" applyNumberFormat="1" applyFont="1" applyBorder="1" applyAlignment="1">
      <alignment vertical="center"/>
    </xf>
    <xf numFmtId="15" fontId="15" fillId="10" borderId="33" xfId="22" applyNumberFormat="1" applyFont="1" applyFill="1" applyBorder="1" applyAlignment="1">
      <alignment horizontal="center" vertical="center"/>
    </xf>
    <xf numFmtId="4" fontId="2" fillId="28" borderId="4" xfId="0" applyNumberFormat="1" applyFont="1" applyFill="1" applyBorder="1" applyAlignment="1">
      <alignment horizontal="right"/>
    </xf>
    <xf numFmtId="4" fontId="2" fillId="28" borderId="0" xfId="0" applyNumberFormat="1" applyFont="1" applyFill="1" applyAlignment="1">
      <alignment horizontal="right"/>
    </xf>
    <xf numFmtId="4" fontId="23" fillId="28" borderId="0" xfId="0" applyNumberFormat="1" applyFont="1" applyFill="1" applyAlignment="1">
      <alignment vertical="center"/>
    </xf>
    <xf numFmtId="4" fontId="10" fillId="28" borderId="0" xfId="0" applyNumberFormat="1" applyFont="1" applyFill="1" applyAlignment="1">
      <alignment vertical="center"/>
    </xf>
    <xf numFmtId="14"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3" fontId="23" fillId="0" borderId="0" xfId="1" applyFont="1" applyFill="1" applyBorder="1" applyAlignment="1">
      <alignment horizontal="center" vertical="center"/>
    </xf>
    <xf numFmtId="0" fontId="23" fillId="28" borderId="0" xfId="0" applyFont="1" applyFill="1" applyAlignment="1">
      <alignment horizontal="center"/>
    </xf>
    <xf numFmtId="49" fontId="23" fillId="28" borderId="0" xfId="0" applyNumberFormat="1" applyFont="1" applyFill="1" applyAlignment="1">
      <alignment horizontal="center"/>
    </xf>
    <xf numFmtId="0" fontId="9" fillId="26" borderId="5" xfId="0" applyFont="1" applyFill="1" applyBorder="1" applyAlignment="1">
      <alignment horizontal="center" vertical="center" wrapText="1"/>
    </xf>
    <xf numFmtId="4" fontId="9" fillId="26" borderId="5" xfId="0" applyNumberFormat="1" applyFont="1" applyFill="1" applyBorder="1" applyAlignment="1">
      <alignment horizontal="center" vertical="center" wrapText="1"/>
    </xf>
    <xf numFmtId="4" fontId="9" fillId="26" borderId="5" xfId="0" applyNumberFormat="1" applyFont="1" applyFill="1" applyBorder="1" applyAlignment="1">
      <alignment horizontal="center" vertical="center"/>
    </xf>
    <xf numFmtId="39" fontId="9" fillId="0" borderId="4" xfId="0" applyNumberFormat="1" applyFont="1" applyBorder="1" applyAlignment="1">
      <alignment horizontal="right"/>
    </xf>
    <xf numFmtId="43" fontId="90" fillId="0" borderId="0" xfId="0" applyNumberFormat="1" applyFont="1"/>
    <xf numFmtId="4" fontId="84" fillId="0" borderId="5" xfId="1" applyNumberFormat="1" applyFont="1" applyBorder="1"/>
    <xf numFmtId="0" fontId="11" fillId="0" borderId="5" xfId="0" applyFont="1" applyBorder="1"/>
    <xf numFmtId="4" fontId="11" fillId="0" borderId="5" xfId="1" applyNumberFormat="1" applyFont="1" applyFill="1" applyBorder="1"/>
    <xf numFmtId="4" fontId="11" fillId="0" borderId="5" xfId="1" applyNumberFormat="1" applyFont="1" applyBorder="1"/>
    <xf numFmtId="4" fontId="84" fillId="0" borderId="0" xfId="0" applyNumberFormat="1" applyFont="1"/>
    <xf numFmtId="4" fontId="95" fillId="0" borderId="0" xfId="0" applyNumberFormat="1" applyFont="1"/>
    <xf numFmtId="43" fontId="95" fillId="0" borderId="0" xfId="1" applyFont="1"/>
    <xf numFmtId="4" fontId="16" fillId="12" borderId="21" xfId="22" applyNumberFormat="1" applyFont="1" applyFill="1" applyBorder="1" applyAlignment="1">
      <alignment horizontal="center" vertical="justify"/>
    </xf>
    <xf numFmtId="0" fontId="32" fillId="28" borderId="0" xfId="0" applyFont="1" applyFill="1" applyAlignment="1">
      <alignment horizontal="center" vertical="center" wrapText="1"/>
    </xf>
    <xf numFmtId="4" fontId="32" fillId="28" borderId="0" xfId="0" applyNumberFormat="1" applyFont="1" applyFill="1" applyAlignment="1">
      <alignment horizontal="center" vertical="center"/>
    </xf>
    <xf numFmtId="4" fontId="65" fillId="28" borderId="0" xfId="0" applyNumberFormat="1" applyFont="1" applyFill="1"/>
    <xf numFmtId="4" fontId="35" fillId="28" borderId="0" xfId="0" applyNumberFormat="1" applyFont="1" applyFill="1"/>
    <xf numFmtId="4" fontId="80" fillId="28" borderId="0" xfId="0" applyNumberFormat="1" applyFont="1" applyFill="1"/>
    <xf numFmtId="4" fontId="32" fillId="28" borderId="0" xfId="0" applyNumberFormat="1" applyFont="1" applyFill="1" applyAlignment="1">
      <alignment horizontal="center" vertical="center" wrapText="1"/>
    </xf>
    <xf numFmtId="4" fontId="23" fillId="28" borderId="0" xfId="1" applyNumberFormat="1" applyFont="1" applyFill="1" applyAlignment="1">
      <alignment vertical="center"/>
    </xf>
    <xf numFmtId="4" fontId="23" fillId="28" borderId="0" xfId="1" applyNumberFormat="1" applyFont="1" applyFill="1" applyBorder="1"/>
    <xf numFmtId="4" fontId="23" fillId="28" borderId="0" xfId="1" applyNumberFormat="1" applyFont="1" applyFill="1"/>
    <xf numFmtId="4" fontId="32" fillId="28" borderId="0" xfId="1" applyNumberFormat="1" applyFont="1" applyFill="1" applyBorder="1" applyAlignment="1">
      <alignment horizontal="right" vertical="center"/>
    </xf>
    <xf numFmtId="4" fontId="32" fillId="28" borderId="2" xfId="1" applyNumberFormat="1" applyFont="1" applyFill="1" applyBorder="1" applyAlignment="1">
      <alignment horizontal="right" vertical="center"/>
    </xf>
    <xf numFmtId="4" fontId="23" fillId="28" borderId="0" xfId="1" quotePrefix="1" applyNumberFormat="1" applyFont="1" applyFill="1" applyBorder="1"/>
    <xf numFmtId="49" fontId="23" fillId="0" borderId="0" xfId="0" applyNumberFormat="1" applyFont="1" applyAlignment="1">
      <alignment horizontal="center" vertical="center" wrapText="1"/>
    </xf>
    <xf numFmtId="0" fontId="23" fillId="0" borderId="0" xfId="0" applyFont="1" applyAlignment="1">
      <alignment vertical="center" wrapText="1"/>
    </xf>
    <xf numFmtId="49" fontId="23" fillId="0" borderId="0" xfId="0" applyNumberFormat="1" applyFont="1" applyAlignment="1">
      <alignment horizontal="center" vertical="center"/>
    </xf>
    <xf numFmtId="4" fontId="32" fillId="0" borderId="4" xfId="1" applyNumberFormat="1" applyFont="1" applyFill="1" applyBorder="1" applyAlignment="1">
      <alignment vertical="center"/>
    </xf>
    <xf numFmtId="4" fontId="32" fillId="0" borderId="0" xfId="1" applyNumberFormat="1" applyFont="1" applyFill="1" applyBorder="1" applyAlignment="1">
      <alignment vertical="center"/>
    </xf>
    <xf numFmtId="4" fontId="32" fillId="28" borderId="4" xfId="1" applyNumberFormat="1" applyFont="1" applyFill="1" applyBorder="1" applyAlignment="1">
      <alignment vertical="center"/>
    </xf>
    <xf numFmtId="4" fontId="16" fillId="12" borderId="21" xfId="22" applyNumberFormat="1" applyFont="1" applyFill="1" applyBorder="1" applyAlignment="1">
      <alignment horizontal="center" vertical="center"/>
    </xf>
    <xf numFmtId="15" fontId="15" fillId="0" borderId="10" xfId="22" applyNumberFormat="1" applyFont="1" applyBorder="1" applyAlignment="1">
      <alignment horizontal="center" vertical="center"/>
    </xf>
    <xf numFmtId="16" fontId="6" fillId="0" borderId="8" xfId="22" applyNumberFormat="1" applyFont="1" applyBorder="1" applyAlignment="1">
      <alignment horizontal="left" vertical="center" wrapText="1"/>
    </xf>
    <xf numFmtId="15" fontId="15" fillId="0" borderId="8" xfId="23" applyNumberFormat="1" applyFont="1" applyFill="1" applyBorder="1" applyAlignment="1">
      <alignment horizontal="center" vertical="center"/>
    </xf>
    <xf numFmtId="168" fontId="15" fillId="0" borderId="8" xfId="22" applyNumberFormat="1" applyFont="1" applyBorder="1" applyAlignment="1">
      <alignment vertical="center"/>
    </xf>
    <xf numFmtId="167" fontId="15" fillId="0" borderId="8" xfId="22" applyNumberFormat="1" applyFont="1" applyBorder="1" applyAlignment="1">
      <alignment vertical="center"/>
    </xf>
    <xf numFmtId="4" fontId="16" fillId="12" borderId="17" xfId="22" applyNumberFormat="1" applyFont="1" applyFill="1" applyBorder="1" applyAlignment="1">
      <alignment horizontal="center"/>
    </xf>
    <xf numFmtId="4" fontId="16" fillId="12" borderId="21" xfId="22" applyNumberFormat="1" applyFont="1" applyFill="1" applyBorder="1" applyAlignment="1">
      <alignment vertical="center"/>
    </xf>
    <xf numFmtId="4" fontId="16" fillId="12" borderId="16" xfId="22" applyNumberFormat="1" applyFont="1" applyFill="1" applyBorder="1" applyAlignment="1">
      <alignment horizontal="center" vertical="center"/>
    </xf>
    <xf numFmtId="4" fontId="16" fillId="12" borderId="44" xfId="22" applyNumberFormat="1" applyFont="1" applyFill="1" applyBorder="1" applyAlignment="1">
      <alignment horizontal="center" vertical="center"/>
    </xf>
    <xf numFmtId="0" fontId="23" fillId="28" borderId="24" xfId="0" applyFont="1" applyFill="1" applyBorder="1" applyAlignment="1">
      <alignment vertical="center" wrapText="1"/>
    </xf>
    <xf numFmtId="39" fontId="15" fillId="0" borderId="27" xfId="23" applyNumberFormat="1" applyFont="1" applyFill="1" applyBorder="1" applyAlignment="1">
      <alignment horizontal="left" vertical="center" wrapText="1"/>
    </xf>
    <xf numFmtId="43" fontId="75" fillId="13" borderId="30" xfId="22" applyNumberFormat="1" applyFont="1" applyFill="1" applyBorder="1" applyAlignment="1">
      <alignment vertical="center"/>
    </xf>
    <xf numFmtId="43" fontId="75" fillId="13" borderId="48" xfId="22" applyNumberFormat="1" applyFont="1" applyFill="1" applyBorder="1" applyAlignment="1">
      <alignment vertical="center"/>
    </xf>
    <xf numFmtId="167" fontId="15" fillId="0" borderId="6" xfId="22" applyNumberFormat="1" applyFont="1" applyBorder="1" applyAlignment="1">
      <alignment vertical="center"/>
    </xf>
    <xf numFmtId="43" fontId="75" fillId="13" borderId="9" xfId="22" applyNumberFormat="1" applyFont="1" applyFill="1" applyBorder="1" applyAlignment="1">
      <alignment vertical="center"/>
    </xf>
    <xf numFmtId="43" fontId="75" fillId="13" borderId="37" xfId="22" applyNumberFormat="1" applyFont="1" applyFill="1" applyBorder="1" applyAlignment="1">
      <alignment vertical="center"/>
    </xf>
    <xf numFmtId="0" fontId="23" fillId="28" borderId="0" xfId="0" applyFont="1" applyFill="1" applyAlignment="1">
      <alignment horizontal="center" vertical="center"/>
    </xf>
    <xf numFmtId="0" fontId="23" fillId="28" borderId="0" xfId="0" applyFont="1" applyFill="1" applyAlignment="1">
      <alignment vertical="center"/>
    </xf>
    <xf numFmtId="4" fontId="70" fillId="28" borderId="0" xfId="1" applyNumberFormat="1" applyFont="1" applyFill="1" applyBorder="1"/>
    <xf numFmtId="43" fontId="0" fillId="0" borderId="0" xfId="1" applyFont="1" applyAlignment="1">
      <alignment horizontal="center"/>
    </xf>
    <xf numFmtId="174" fontId="0" fillId="0" borderId="0" xfId="0" applyNumberFormat="1" applyAlignment="1">
      <alignment horizontal="center"/>
    </xf>
    <xf numFmtId="174" fontId="29" fillId="0" borderId="0" xfId="0" applyNumberFormat="1" applyFont="1" applyAlignment="1">
      <alignment vertical="center"/>
    </xf>
    <xf numFmtId="4" fontId="32" fillId="24" borderId="2" xfId="0" applyNumberFormat="1" applyFont="1" applyFill="1" applyBorder="1" applyAlignment="1">
      <alignment vertical="center"/>
    </xf>
    <xf numFmtId="4" fontId="32" fillId="0" borderId="0" xfId="0" applyNumberFormat="1" applyFont="1" applyAlignment="1">
      <alignment vertical="center"/>
    </xf>
    <xf numFmtId="4" fontId="23" fillId="28" borderId="0" xfId="1" applyNumberFormat="1" applyFont="1" applyFill="1" applyBorder="1" applyAlignment="1">
      <alignment vertical="center" wrapText="1"/>
    </xf>
    <xf numFmtId="4" fontId="23" fillId="0" borderId="0" xfId="1" applyNumberFormat="1" applyFont="1" applyFill="1" applyBorder="1" applyAlignment="1">
      <alignment vertical="center"/>
    </xf>
    <xf numFmtId="4" fontId="23" fillId="28" borderId="0" xfId="1" applyNumberFormat="1" applyFont="1" applyFill="1" applyBorder="1" applyAlignment="1">
      <alignment vertical="center"/>
    </xf>
    <xf numFmtId="4" fontId="10" fillId="0" borderId="0" xfId="1" applyNumberFormat="1" applyFont="1" applyFill="1" applyBorder="1" applyAlignment="1">
      <alignment vertical="center"/>
    </xf>
    <xf numFmtId="0" fontId="32" fillId="0" borderId="0" xfId="0" applyFont="1" applyAlignment="1">
      <alignment horizontal="right" vertical="center"/>
    </xf>
    <xf numFmtId="49" fontId="23" fillId="28" borderId="0" xfId="0" applyNumberFormat="1" applyFont="1" applyFill="1" applyAlignment="1">
      <alignment horizontal="center" vertical="center"/>
    </xf>
    <xf numFmtId="169" fontId="65" fillId="28" borderId="0" xfId="0" applyNumberFormat="1" applyFont="1" applyFill="1" applyAlignment="1">
      <alignment horizontal="left" vertical="center"/>
    </xf>
    <xf numFmtId="43" fontId="0" fillId="0" borderId="0" xfId="1" applyFont="1" applyFill="1" applyAlignment="1">
      <alignment vertical="center"/>
    </xf>
    <xf numFmtId="43" fontId="2" fillId="0" borderId="0" xfId="1" applyFont="1" applyAlignment="1">
      <alignment horizontal="center"/>
    </xf>
    <xf numFmtId="4" fontId="45" fillId="0" borderId="0" xfId="0" applyNumberFormat="1" applyFont="1" applyAlignment="1">
      <alignment horizontal="center"/>
    </xf>
    <xf numFmtId="39" fontId="76" fillId="0" borderId="0" xfId="0" applyNumberFormat="1" applyFont="1"/>
    <xf numFmtId="4" fontId="23" fillId="28" borderId="3" xfId="0" applyNumberFormat="1" applyFont="1" applyFill="1" applyBorder="1"/>
    <xf numFmtId="0" fontId="23" fillId="28" borderId="5" xfId="0" applyFont="1" applyFill="1" applyBorder="1" applyAlignment="1">
      <alignment horizontal="center" vertical="center"/>
    </xf>
    <xf numFmtId="0" fontId="4" fillId="0" borderId="11" xfId="0" applyFont="1" applyBorder="1" applyAlignment="1">
      <alignment vertical="center" wrapText="1"/>
    </xf>
    <xf numFmtId="0" fontId="4" fillId="0" borderId="31" xfId="0" applyFont="1" applyBorder="1" applyAlignment="1">
      <alignment horizontal="center" vertical="center"/>
    </xf>
    <xf numFmtId="14" fontId="4" fillId="0" borderId="31" xfId="0" applyNumberFormat="1" applyFont="1" applyBorder="1" applyAlignment="1">
      <alignment horizontal="center" vertical="center"/>
    </xf>
    <xf numFmtId="4" fontId="4" fillId="0" borderId="31" xfId="0" applyNumberFormat="1" applyFont="1" applyBorder="1" applyAlignment="1">
      <alignment horizontal="center" vertical="center"/>
    </xf>
    <xf numFmtId="0" fontId="4" fillId="0" borderId="32" xfId="0" applyFont="1" applyBorder="1" applyAlignment="1">
      <alignment horizontal="center" vertical="center" wrapText="1"/>
    </xf>
    <xf numFmtId="39" fontId="5" fillId="28" borderId="0" xfId="1" applyNumberFormat="1" applyFont="1" applyFill="1" applyAlignment="1"/>
    <xf numFmtId="0" fontId="23" fillId="28" borderId="0" xfId="0" applyFont="1" applyFill="1" applyAlignment="1">
      <alignment horizontal="left" vertical="center"/>
    </xf>
    <xf numFmtId="4" fontId="23" fillId="0" borderId="24" xfId="0" applyNumberFormat="1" applyFont="1" applyBorder="1" applyAlignment="1">
      <alignment vertical="center"/>
    </xf>
    <xf numFmtId="4" fontId="33" fillId="0" borderId="0" xfId="0" applyNumberFormat="1" applyFont="1" applyAlignment="1">
      <alignment vertical="center"/>
    </xf>
    <xf numFmtId="4" fontId="10" fillId="0" borderId="0" xfId="1" applyNumberFormat="1" applyFont="1" applyFill="1" applyAlignment="1">
      <alignment vertical="center"/>
    </xf>
    <xf numFmtId="4" fontId="10" fillId="0" borderId="3" xfId="1" applyNumberFormat="1" applyFont="1" applyFill="1" applyBorder="1" applyAlignment="1">
      <alignment vertical="center"/>
    </xf>
    <xf numFmtId="4" fontId="23" fillId="0" borderId="0" xfId="1" applyNumberFormat="1" applyFont="1" applyFill="1" applyBorder="1" applyAlignment="1">
      <alignment vertical="center" wrapText="1"/>
    </xf>
    <xf numFmtId="4" fontId="33" fillId="0" borderId="0" xfId="0" applyNumberFormat="1" applyFont="1" applyAlignment="1">
      <alignment horizontal="center" vertical="center"/>
    </xf>
    <xf numFmtId="4" fontId="33" fillId="0" borderId="3" xfId="0" applyNumberFormat="1" applyFont="1" applyBorder="1" applyAlignment="1">
      <alignment vertical="center"/>
    </xf>
    <xf numFmtId="4" fontId="2" fillId="0" borderId="4" xfId="0" applyNumberFormat="1" applyFont="1" applyBorder="1" applyAlignment="1">
      <alignment vertical="center"/>
    </xf>
    <xf numFmtId="4" fontId="33" fillId="0" borderId="0" xfId="0" applyNumberFormat="1" applyFont="1" applyAlignment="1">
      <alignment horizontal="center" vertical="center" wrapText="1"/>
    </xf>
    <xf numFmtId="4" fontId="33" fillId="0" borderId="2" xfId="1" applyNumberFormat="1" applyFont="1" applyFill="1" applyBorder="1" applyAlignment="1">
      <alignment horizontal="right" vertical="center"/>
    </xf>
    <xf numFmtId="0" fontId="58" fillId="0" borderId="0" xfId="0" applyFont="1" applyAlignment="1">
      <alignment horizontal="center"/>
    </xf>
    <xf numFmtId="43" fontId="35" fillId="11" borderId="0" xfId="1" applyFont="1" applyFill="1"/>
    <xf numFmtId="0" fontId="10" fillId="11" borderId="0" xfId="0" applyFont="1" applyFill="1"/>
    <xf numFmtId="0" fontId="29" fillId="28" borderId="0" xfId="0" applyFont="1" applyFill="1" applyAlignment="1">
      <alignment vertical="center"/>
    </xf>
    <xf numFmtId="0" fontId="29" fillId="28" borderId="0" xfId="0" applyFont="1" applyFill="1" applyAlignment="1">
      <alignment horizontal="left" vertical="center"/>
    </xf>
    <xf numFmtId="4" fontId="10" fillId="28" borderId="7" xfId="0" applyNumberFormat="1" applyFont="1" applyFill="1" applyBorder="1" applyAlignment="1">
      <alignment vertical="center"/>
    </xf>
    <xf numFmtId="43" fontId="13" fillId="0" borderId="0" xfId="1" applyFont="1" applyAlignment="1">
      <alignment vertical="center"/>
    </xf>
    <xf numFmtId="0" fontId="13" fillId="0" borderId="0" xfId="0" applyFont="1" applyAlignment="1">
      <alignment vertical="center"/>
    </xf>
    <xf numFmtId="43" fontId="68" fillId="28" borderId="0" xfId="1" applyFont="1" applyFill="1"/>
    <xf numFmtId="0" fontId="4" fillId="28" borderId="5" xfId="0" applyFont="1" applyFill="1" applyBorder="1" applyAlignment="1">
      <alignment wrapText="1"/>
    </xf>
    <xf numFmtId="0" fontId="4" fillId="28" borderId="5" xfId="0" applyFont="1" applyFill="1" applyBorder="1"/>
    <xf numFmtId="0" fontId="12" fillId="28" borderId="5" xfId="0" applyFont="1" applyFill="1" applyBorder="1"/>
    <xf numFmtId="4" fontId="4" fillId="32" borderId="5" xfId="1" applyNumberFormat="1" applyFont="1" applyFill="1" applyBorder="1"/>
    <xf numFmtId="0" fontId="23" fillId="0" borderId="26" xfId="0" applyFont="1" applyBorder="1" applyAlignment="1">
      <alignment horizontal="left" vertical="center" wrapText="1"/>
    </xf>
    <xf numFmtId="43" fontId="36" fillId="0" borderId="5" xfId="1" applyFont="1" applyFill="1" applyBorder="1" applyAlignment="1">
      <alignment horizontal="left" vertical="center" wrapText="1"/>
    </xf>
    <xf numFmtId="43" fontId="36" fillId="0" borderId="5" xfId="1" applyFont="1" applyFill="1" applyBorder="1" applyAlignment="1">
      <alignment vertical="center" wrapText="1"/>
    </xf>
    <xf numFmtId="4" fontId="0" fillId="24" borderId="5" xfId="1" applyNumberFormat="1" applyFont="1" applyFill="1" applyBorder="1"/>
    <xf numFmtId="4" fontId="4" fillId="24" borderId="5" xfId="1" applyNumberFormat="1" applyFont="1" applyFill="1" applyBorder="1"/>
    <xf numFmtId="4" fontId="88" fillId="24" borderId="5" xfId="1" applyNumberFormat="1" applyFont="1" applyFill="1" applyBorder="1"/>
    <xf numFmtId="4" fontId="2" fillId="24" borderId="5" xfId="1" applyNumberFormat="1" applyFont="1" applyFill="1" applyBorder="1"/>
    <xf numFmtId="4" fontId="45" fillId="16" borderId="0" xfId="0" applyNumberFormat="1" applyFont="1" applyFill="1"/>
    <xf numFmtId="0" fontId="4" fillId="0" borderId="5" xfId="0" applyFont="1" applyBorder="1" applyAlignment="1">
      <alignment horizontal="center" vertical="center"/>
    </xf>
    <xf numFmtId="4" fontId="4" fillId="28" borderId="5" xfId="0" applyNumberFormat="1" applyFont="1" applyFill="1" applyBorder="1" applyAlignment="1">
      <alignment horizontal="center" vertical="center"/>
    </xf>
    <xf numFmtId="0" fontId="4" fillId="0" borderId="23" xfId="0" applyFont="1" applyBorder="1" applyAlignment="1">
      <alignment vertical="center" wrapText="1"/>
    </xf>
    <xf numFmtId="0" fontId="4" fillId="0" borderId="26" xfId="0" applyFont="1" applyBorder="1" applyAlignment="1">
      <alignment horizontal="center" vertical="center" wrapText="1"/>
    </xf>
    <xf numFmtId="0" fontId="102" fillId="0" borderId="0" xfId="0" applyFont="1"/>
    <xf numFmtId="39" fontId="0" fillId="0" borderId="0" xfId="0" applyNumberFormat="1"/>
    <xf numFmtId="0" fontId="35" fillId="0" borderId="0" xfId="0" applyFont="1" applyAlignment="1">
      <alignment horizontal="center" vertical="center"/>
    </xf>
    <xf numFmtId="4" fontId="0" fillId="28" borderId="0" xfId="0" applyNumberFormat="1" applyFill="1"/>
    <xf numFmtId="4" fontId="32" fillId="14" borderId="2" xfId="0" applyNumberFormat="1" applyFont="1" applyFill="1" applyBorder="1" applyAlignment="1">
      <alignment horizontal="right" vertical="center"/>
    </xf>
    <xf numFmtId="4" fontId="32" fillId="14" borderId="2" xfId="0" applyNumberFormat="1" applyFont="1" applyFill="1" applyBorder="1" applyAlignment="1">
      <alignment vertical="center"/>
    </xf>
    <xf numFmtId="0" fontId="10" fillId="0" borderId="0" xfId="0" applyFont="1" applyAlignment="1">
      <alignment horizontal="left" vertical="center" wrapText="1"/>
    </xf>
    <xf numFmtId="0" fontId="0" fillId="0" borderId="7" xfId="0" applyBorder="1"/>
    <xf numFmtId="0" fontId="2" fillId="0" borderId="7" xfId="0" applyFont="1" applyBorder="1" applyAlignment="1">
      <alignment vertical="center"/>
    </xf>
    <xf numFmtId="4" fontId="2" fillId="26" borderId="7" xfId="1" applyNumberFormat="1" applyFont="1" applyFill="1" applyBorder="1" applyAlignment="1">
      <alignment vertical="center"/>
    </xf>
    <xf numFmtId="169" fontId="65" fillId="0" borderId="0" xfId="0" applyNumberFormat="1" applyFont="1" applyAlignment="1">
      <alignment horizontal="left" vertical="center"/>
    </xf>
    <xf numFmtId="173" fontId="35" fillId="0" borderId="0" xfId="0" applyNumberFormat="1" applyFont="1"/>
    <xf numFmtId="4" fontId="43" fillId="0" borderId="49" xfId="0" applyNumberFormat="1" applyFont="1" applyBorder="1"/>
    <xf numFmtId="4" fontId="43" fillId="28" borderId="38" xfId="0" applyNumberFormat="1" applyFont="1" applyFill="1" applyBorder="1"/>
    <xf numFmtId="4" fontId="23" fillId="28" borderId="3" xfId="1" applyNumberFormat="1" applyFont="1" applyFill="1" applyBorder="1" applyAlignment="1">
      <alignment vertical="center"/>
    </xf>
    <xf numFmtId="4" fontId="32" fillId="30" borderId="5" xfId="1" applyNumberFormat="1" applyFont="1" applyFill="1" applyBorder="1" applyAlignment="1">
      <alignment wrapText="1"/>
    </xf>
    <xf numFmtId="4" fontId="32" fillId="31" borderId="5" xfId="1" applyNumberFormat="1" applyFont="1" applyFill="1" applyBorder="1" applyAlignment="1">
      <alignment wrapText="1"/>
    </xf>
    <xf numFmtId="4" fontId="23" fillId="0" borderId="5" xfId="1" applyNumberFormat="1" applyFont="1" applyFill="1" applyBorder="1" applyAlignment="1">
      <alignment wrapText="1"/>
    </xf>
    <xf numFmtId="0" fontId="0" fillId="28" borderId="5" xfId="0" applyFill="1" applyBorder="1"/>
    <xf numFmtId="4" fontId="1" fillId="28" borderId="5" xfId="1" applyNumberFormat="1" applyFont="1" applyFill="1" applyBorder="1"/>
    <xf numFmtId="4" fontId="32" fillId="28" borderId="5" xfId="1" applyNumberFormat="1" applyFont="1" applyFill="1" applyBorder="1" applyAlignment="1">
      <alignment wrapText="1"/>
    </xf>
    <xf numFmtId="4" fontId="0" fillId="28" borderId="24" xfId="0" applyNumberFormat="1" applyFill="1" applyBorder="1"/>
    <xf numFmtId="4" fontId="105" fillId="30" borderId="5" xfId="1" applyNumberFormat="1" applyFont="1" applyFill="1" applyBorder="1" applyAlignment="1">
      <alignment wrapText="1"/>
    </xf>
    <xf numFmtId="0" fontId="4" fillId="28" borderId="5" xfId="0" applyFont="1" applyFill="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vertical="center" wrapText="1"/>
    </xf>
    <xf numFmtId="4" fontId="4" fillId="0" borderId="7" xfId="0" applyNumberFormat="1" applyFont="1" applyBorder="1" applyAlignment="1">
      <alignment horizontal="center" vertical="center"/>
    </xf>
    <xf numFmtId="0" fontId="4" fillId="0" borderId="34" xfId="0" applyFont="1" applyBorder="1" applyAlignment="1">
      <alignment horizontal="center" vertical="center" wrapText="1"/>
    </xf>
    <xf numFmtId="0" fontId="23" fillId="28" borderId="5" xfId="0" applyFont="1" applyFill="1" applyBorder="1" applyAlignment="1">
      <alignment vertical="center" wrapText="1"/>
    </xf>
    <xf numFmtId="4" fontId="10" fillId="28" borderId="5" xfId="0" applyNumberFormat="1" applyFont="1" applyFill="1" applyBorder="1" applyAlignment="1">
      <alignment vertical="center"/>
    </xf>
    <xf numFmtId="4" fontId="10" fillId="28" borderId="0" xfId="1" applyNumberFormat="1" applyFont="1" applyFill="1" applyBorder="1"/>
    <xf numFmtId="4" fontId="10" fillId="28" borderId="3" xfId="0" applyNumberFormat="1" applyFont="1" applyFill="1" applyBorder="1" applyAlignment="1">
      <alignment vertical="center"/>
    </xf>
    <xf numFmtId="14" fontId="4" fillId="0" borderId="7" xfId="0" applyNumberFormat="1" applyFont="1" applyBorder="1" applyAlignment="1">
      <alignment horizontal="center" vertical="center"/>
    </xf>
    <xf numFmtId="4" fontId="4" fillId="28" borderId="7" xfId="0"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8" xfId="0" applyBorder="1" applyAlignment="1">
      <alignment horizontal="center" vertical="center"/>
    </xf>
    <xf numFmtId="43" fontId="5" fillId="0" borderId="27" xfId="1" applyFont="1" applyBorder="1" applyAlignment="1">
      <alignment horizontal="left" vertical="center" wrapText="1"/>
    </xf>
    <xf numFmtId="14" fontId="23" fillId="28" borderId="23" xfId="0" applyNumberFormat="1" applyFont="1" applyFill="1" applyBorder="1" applyAlignment="1">
      <alignment horizontal="center" vertical="center"/>
    </xf>
    <xf numFmtId="0" fontId="23" fillId="28" borderId="25" xfId="0" applyFont="1" applyFill="1" applyBorder="1" applyAlignment="1">
      <alignment horizontal="left" vertical="center" wrapText="1"/>
    </xf>
    <xf numFmtId="0" fontId="10" fillId="28" borderId="0" xfId="0" applyFont="1" applyFill="1"/>
    <xf numFmtId="4" fontId="10" fillId="28" borderId="0" xfId="0" applyNumberFormat="1" applyFont="1" applyFill="1" applyAlignment="1">
      <alignment wrapText="1"/>
    </xf>
    <xf numFmtId="39" fontId="5" fillId="0" borderId="0" xfId="1" applyNumberFormat="1" applyFont="1" applyFill="1" applyBorder="1"/>
    <xf numFmtId="4" fontId="19" fillId="0" borderId="35" xfId="0" applyNumberFormat="1" applyFont="1" applyBorder="1"/>
    <xf numFmtId="0" fontId="4" fillId="0" borderId="5" xfId="0" applyFont="1" applyBorder="1" applyAlignment="1">
      <alignment horizontal="justify" vertical="justify" wrapText="1"/>
    </xf>
    <xf numFmtId="0" fontId="4" fillId="0" borderId="5" xfId="0" applyFont="1" applyBorder="1" applyAlignment="1">
      <alignment horizontal="left" vertical="center" wrapText="1"/>
    </xf>
    <xf numFmtId="14" fontId="4" fillId="0" borderId="5" xfId="0" applyNumberFormat="1" applyFont="1" applyBorder="1" applyAlignment="1">
      <alignment horizontal="left" vertical="center"/>
    </xf>
    <xf numFmtId="0" fontId="2" fillId="0" borderId="0" xfId="0" applyFont="1" applyAlignment="1">
      <alignment horizontal="center" vertical="center" wrapText="1"/>
    </xf>
    <xf numFmtId="4" fontId="12" fillId="0" borderId="0" xfId="0" applyNumberFormat="1" applyFont="1"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4" fontId="4" fillId="0" borderId="0" xfId="0" applyNumberFormat="1" applyFont="1" applyAlignment="1">
      <alignment horizontal="center" vertical="center"/>
    </xf>
    <xf numFmtId="4" fontId="0" fillId="0" borderId="0" xfId="0" applyNumberFormat="1" applyAlignment="1">
      <alignment horizontal="right" wrapText="1"/>
    </xf>
    <xf numFmtId="0" fontId="4" fillId="0" borderId="31" xfId="0" applyFont="1" applyBorder="1" applyAlignment="1">
      <alignment horizontal="justify" vertical="justify" wrapText="1"/>
    </xf>
    <xf numFmtId="4" fontId="4" fillId="28" borderId="31" xfId="0" applyNumberFormat="1" applyFont="1" applyFill="1" applyBorder="1" applyAlignment="1">
      <alignment horizontal="center" vertical="center"/>
    </xf>
    <xf numFmtId="0" fontId="4" fillId="28" borderId="23" xfId="0" applyFont="1" applyFill="1" applyBorder="1" applyAlignment="1">
      <alignment vertical="center" wrapText="1"/>
    </xf>
    <xf numFmtId="14" fontId="4" fillId="0" borderId="7" xfId="0" applyNumberFormat="1" applyFont="1" applyBorder="1" applyAlignment="1">
      <alignment horizontal="left" vertical="center"/>
    </xf>
    <xf numFmtId="0" fontId="2" fillId="0" borderId="14" xfId="0" applyFont="1" applyBorder="1" applyAlignment="1">
      <alignment horizontal="center" vertical="center"/>
    </xf>
    <xf numFmtId="14" fontId="10" fillId="0" borderId="0" xfId="0" applyNumberFormat="1" applyFont="1"/>
    <xf numFmtId="0" fontId="41" fillId="18" borderId="14" xfId="19" applyFont="1" applyFill="1" applyBorder="1" applyAlignment="1">
      <alignment horizontal="center" vertical="center" wrapText="1"/>
    </xf>
    <xf numFmtId="4" fontId="44" fillId="0" borderId="39" xfId="0" applyNumberFormat="1" applyFont="1" applyBorder="1"/>
    <xf numFmtId="4" fontId="44" fillId="0" borderId="50" xfId="0" applyNumberFormat="1" applyFont="1" applyBorder="1"/>
    <xf numFmtId="0" fontId="0" fillId="0" borderId="51" xfId="0" applyBorder="1"/>
    <xf numFmtId="4" fontId="43" fillId="0" borderId="40" xfId="0" applyNumberFormat="1" applyFont="1" applyBorder="1"/>
    <xf numFmtId="4" fontId="54" fillId="0" borderId="40" xfId="0" applyNumberFormat="1" applyFont="1" applyBorder="1"/>
    <xf numFmtId="0" fontId="0" fillId="0" borderId="40" xfId="0" applyBorder="1"/>
    <xf numFmtId="4" fontId="44" fillId="0" borderId="40" xfId="0" applyNumberFormat="1" applyFont="1" applyBorder="1"/>
    <xf numFmtId="4" fontId="19" fillId="0" borderId="40" xfId="0" applyNumberFormat="1" applyFont="1" applyBorder="1"/>
    <xf numFmtId="4" fontId="44" fillId="0" borderId="33" xfId="0" applyNumberFormat="1" applyFont="1" applyBorder="1"/>
    <xf numFmtId="4" fontId="0" fillId="33" borderId="5" xfId="1" applyNumberFormat="1" applyFont="1" applyFill="1" applyBorder="1"/>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0" fontId="10" fillId="0" borderId="11" xfId="0" applyFont="1" applyBorder="1" applyAlignment="1">
      <alignment horizontal="right" vertical="center"/>
    </xf>
    <xf numFmtId="49" fontId="10" fillId="0" borderId="31" xfId="0" applyNumberFormat="1" applyFont="1" applyBorder="1" applyAlignment="1">
      <alignment horizontal="right" vertical="center"/>
    </xf>
    <xf numFmtId="0" fontId="10" fillId="0" borderId="31" xfId="0" applyFont="1" applyBorder="1" applyAlignment="1">
      <alignment vertical="center"/>
    </xf>
    <xf numFmtId="4" fontId="10" fillId="0" borderId="31" xfId="0" applyNumberFormat="1" applyFont="1" applyBorder="1" applyAlignment="1">
      <alignment vertical="center"/>
    </xf>
    <xf numFmtId="4" fontId="10" fillId="0" borderId="32" xfId="0" applyNumberFormat="1" applyFont="1" applyBorder="1" applyAlignment="1">
      <alignment vertical="center"/>
    </xf>
    <xf numFmtId="14" fontId="10" fillId="0" borderId="33" xfId="0" applyNumberFormat="1" applyFont="1" applyBorder="1" applyAlignment="1">
      <alignment horizontal="right" vertical="center"/>
    </xf>
    <xf numFmtId="49" fontId="23" fillId="0" borderId="6" xfId="0" applyNumberFormat="1" applyFont="1" applyBorder="1" applyAlignment="1">
      <alignment horizontal="center" vertical="center"/>
    </xf>
    <xf numFmtId="0" fontId="10" fillId="0" borderId="5" xfId="0" applyFont="1" applyBorder="1" applyAlignment="1">
      <alignment vertical="center"/>
    </xf>
    <xf numFmtId="4" fontId="10" fillId="0" borderId="24" xfId="0" applyNumberFormat="1" applyFont="1" applyBorder="1" applyAlignment="1">
      <alignment vertical="center"/>
    </xf>
    <xf numFmtId="4" fontId="10" fillId="0" borderId="25" xfId="0" applyNumberFormat="1" applyFont="1" applyBorder="1" applyAlignment="1">
      <alignment vertical="center"/>
    </xf>
    <xf numFmtId="14" fontId="10" fillId="0" borderId="28" xfId="0" applyNumberFormat="1" applyFont="1" applyBorder="1" applyAlignment="1">
      <alignment horizontal="right" vertical="center"/>
    </xf>
    <xf numFmtId="49" fontId="4" fillId="0" borderId="7" xfId="0" applyNumberFormat="1" applyFont="1" applyBorder="1" applyAlignment="1">
      <alignment horizontal="center" vertical="center"/>
    </xf>
    <xf numFmtId="0" fontId="10" fillId="0" borderId="7" xfId="0" applyFont="1" applyBorder="1" applyAlignment="1">
      <alignment vertical="center"/>
    </xf>
    <xf numFmtId="4" fontId="10" fillId="0" borderId="7" xfId="0" applyNumberFormat="1" applyFont="1" applyBorder="1" applyAlignment="1">
      <alignment vertical="center"/>
    </xf>
    <xf numFmtId="4" fontId="10" fillId="0" borderId="34" xfId="0" applyNumberFormat="1" applyFont="1" applyBorder="1" applyAlignment="1">
      <alignment vertical="center"/>
    </xf>
    <xf numFmtId="14" fontId="10" fillId="0" borderId="10" xfId="0" applyNumberFormat="1" applyFont="1" applyBorder="1" applyAlignment="1">
      <alignment vertical="center"/>
    </xf>
    <xf numFmtId="14" fontId="10" fillId="0" borderId="8" xfId="0" applyNumberFormat="1" applyFont="1" applyBorder="1" applyAlignment="1">
      <alignment vertical="center"/>
    </xf>
    <xf numFmtId="0" fontId="33" fillId="0" borderId="8" xfId="0" applyFont="1" applyBorder="1" applyAlignment="1">
      <alignment vertical="center"/>
    </xf>
    <xf numFmtId="4" fontId="33" fillId="0" borderId="30" xfId="0" applyNumberFormat="1" applyFont="1" applyBorder="1" applyAlignment="1">
      <alignment vertical="center"/>
    </xf>
    <xf numFmtId="4" fontId="33" fillId="0" borderId="8" xfId="0" applyNumberFormat="1" applyFont="1" applyBorder="1" applyAlignment="1">
      <alignment vertical="center"/>
    </xf>
    <xf numFmtId="4" fontId="2" fillId="0" borderId="47" xfId="0" applyNumberFormat="1" applyFont="1" applyBorder="1" applyAlignment="1">
      <alignment vertical="center"/>
    </xf>
    <xf numFmtId="4" fontId="23" fillId="28" borderId="3" xfId="0" applyNumberFormat="1" applyFont="1" applyFill="1" applyBorder="1" applyAlignment="1">
      <alignment vertical="center"/>
    </xf>
    <xf numFmtId="39" fontId="0" fillId="0" borderId="0" xfId="1" applyNumberFormat="1" applyFont="1"/>
    <xf numFmtId="43" fontId="5" fillId="0" borderId="0" xfId="1" applyFont="1" applyFill="1" applyBorder="1"/>
    <xf numFmtId="43" fontId="9" fillId="0" borderId="0" xfId="1" applyFont="1" applyBorder="1"/>
    <xf numFmtId="0" fontId="0" fillId="0" borderId="0" xfId="0" applyAlignment="1">
      <alignment vertical="center"/>
    </xf>
    <xf numFmtId="43" fontId="0" fillId="0" borderId="5" xfId="1" applyFont="1" applyBorder="1" applyAlignment="1">
      <alignment vertical="center"/>
    </xf>
    <xf numFmtId="43" fontId="0" fillId="0" borderId="5" xfId="0" applyNumberFormat="1" applyBorder="1" applyAlignment="1">
      <alignment vertical="center"/>
    </xf>
    <xf numFmtId="43" fontId="2" fillId="16" borderId="0" xfId="0" applyNumberFormat="1" applyFont="1" applyFill="1"/>
    <xf numFmtId="0" fontId="0" fillId="0" borderId="5" xfId="0" applyBorder="1" applyAlignment="1">
      <alignment horizontal="center" vertical="center"/>
    </xf>
    <xf numFmtId="175" fontId="2" fillId="0" borderId="0" xfId="0" applyNumberFormat="1" applyFont="1"/>
    <xf numFmtId="0" fontId="9" fillId="16" borderId="9" xfId="0" applyFont="1" applyFill="1" applyBorder="1" applyAlignment="1">
      <alignment horizontal="center" vertical="center" wrapText="1"/>
    </xf>
    <xf numFmtId="0" fontId="9" fillId="16" borderId="36" xfId="0" applyFont="1" applyFill="1" applyBorder="1" applyAlignment="1">
      <alignment horizontal="center" vertical="center" wrapText="1"/>
    </xf>
    <xf numFmtId="0" fontId="9" fillId="16" borderId="37" xfId="0" applyFont="1" applyFill="1" applyBorder="1" applyAlignment="1">
      <alignment horizontal="center" vertical="center" wrapText="1"/>
    </xf>
    <xf numFmtId="14" fontId="0" fillId="0" borderId="11" xfId="0" applyNumberFormat="1" applyBorder="1" applyAlignment="1">
      <alignment vertical="center"/>
    </xf>
    <xf numFmtId="0" fontId="0" fillId="0" borderId="31" xfId="0" applyBorder="1" applyAlignment="1">
      <alignment horizontal="center" vertical="center"/>
    </xf>
    <xf numFmtId="43" fontId="0" fillId="0" borderId="31" xfId="1" applyFont="1" applyBorder="1" applyAlignment="1">
      <alignment vertical="center"/>
    </xf>
    <xf numFmtId="43" fontId="0" fillId="0" borderId="31" xfId="0" applyNumberFormat="1" applyBorder="1" applyAlignment="1">
      <alignment vertical="center"/>
    </xf>
    <xf numFmtId="43" fontId="0" fillId="0" borderId="32" xfId="1" applyFont="1" applyBorder="1" applyAlignment="1">
      <alignment vertical="center"/>
    </xf>
    <xf numFmtId="14" fontId="0" fillId="0" borderId="23" xfId="0" applyNumberFormat="1" applyBorder="1" applyAlignment="1">
      <alignment vertical="center"/>
    </xf>
    <xf numFmtId="43" fontId="0" fillId="0" borderId="26" xfId="1" applyFont="1" applyBorder="1" applyAlignment="1">
      <alignment vertical="center"/>
    </xf>
    <xf numFmtId="14" fontId="0" fillId="0" borderId="28" xfId="0" applyNumberFormat="1" applyBorder="1" applyAlignment="1">
      <alignment vertical="center"/>
    </xf>
    <xf numFmtId="0" fontId="0" fillId="0" borderId="7" xfId="0" applyBorder="1" applyAlignment="1">
      <alignment horizontal="center" vertical="center"/>
    </xf>
    <xf numFmtId="43" fontId="0" fillId="0" borderId="7" xfId="1" applyFont="1" applyBorder="1" applyAlignment="1">
      <alignment vertical="center"/>
    </xf>
    <xf numFmtId="43" fontId="0" fillId="0" borderId="7" xfId="0" applyNumberFormat="1" applyBorder="1" applyAlignment="1">
      <alignment vertical="center"/>
    </xf>
    <xf numFmtId="43" fontId="0" fillId="0" borderId="34" xfId="1" applyFont="1" applyBorder="1" applyAlignment="1">
      <alignment vertical="center"/>
    </xf>
    <xf numFmtId="43" fontId="9" fillId="16" borderId="9" xfId="0" applyNumberFormat="1" applyFont="1" applyFill="1" applyBorder="1" applyAlignment="1">
      <alignment vertical="center"/>
    </xf>
    <xf numFmtId="43" fontId="9" fillId="16" borderId="36" xfId="0" applyNumberFormat="1" applyFont="1" applyFill="1" applyBorder="1" applyAlignment="1">
      <alignment vertical="center"/>
    </xf>
    <xf numFmtId="43" fontId="9" fillId="16" borderId="37" xfId="0" applyNumberFormat="1" applyFont="1" applyFill="1" applyBorder="1" applyAlignment="1">
      <alignment vertical="center"/>
    </xf>
    <xf numFmtId="4" fontId="65" fillId="28" borderId="0" xfId="0" applyNumberFormat="1" applyFont="1" applyFill="1" applyAlignment="1">
      <alignment vertical="center"/>
    </xf>
    <xf numFmtId="4" fontId="23" fillId="29" borderId="0" xfId="0" applyNumberFormat="1" applyFont="1" applyFill="1" applyAlignment="1">
      <alignment vertical="center"/>
    </xf>
    <xf numFmtId="49" fontId="10" fillId="0" borderId="0" xfId="0" applyNumberFormat="1" applyFont="1" applyAlignment="1">
      <alignment horizontal="center" vertical="center"/>
    </xf>
    <xf numFmtId="0" fontId="10" fillId="28" borderId="0" xfId="0" applyFont="1" applyFill="1" applyAlignment="1">
      <alignment horizontal="center" vertical="center"/>
    </xf>
    <xf numFmtId="49" fontId="10" fillId="28" borderId="0" xfId="0" applyNumberFormat="1" applyFont="1" applyFill="1" applyAlignment="1">
      <alignment horizontal="center" vertical="center"/>
    </xf>
    <xf numFmtId="4" fontId="36" fillId="28" borderId="0" xfId="0" applyNumberFormat="1" applyFont="1" applyFill="1" applyAlignment="1">
      <alignment vertical="center"/>
    </xf>
    <xf numFmtId="4" fontId="32" fillId="32" borderId="0" xfId="0" applyNumberFormat="1" applyFont="1" applyFill="1" applyAlignment="1">
      <alignment vertical="center"/>
    </xf>
    <xf numFmtId="4" fontId="10" fillId="32" borderId="0" xfId="0" applyNumberFormat="1" applyFont="1" applyFill="1" applyAlignment="1">
      <alignment vertical="center"/>
    </xf>
    <xf numFmtId="4" fontId="35" fillId="28" borderId="3" xfId="0" applyNumberFormat="1" applyFont="1" applyFill="1" applyBorder="1" applyAlignment="1">
      <alignment vertical="center"/>
    </xf>
    <xf numFmtId="4" fontId="35" fillId="28" borderId="0" xfId="0" applyNumberFormat="1" applyFont="1" applyFill="1" applyAlignment="1">
      <alignment vertical="center"/>
    </xf>
    <xf numFmtId="49" fontId="23" fillId="30" borderId="0" xfId="0" applyNumberFormat="1" applyFont="1" applyFill="1" applyAlignment="1">
      <alignment horizontal="center" vertical="center"/>
    </xf>
    <xf numFmtId="14" fontId="0" fillId="0" borderId="52" xfId="0" applyNumberFormat="1" applyBorder="1" applyAlignment="1">
      <alignment vertical="center"/>
    </xf>
    <xf numFmtId="0" fontId="0" fillId="0" borderId="6" xfId="0" applyBorder="1" applyAlignment="1">
      <alignment horizontal="center" vertical="center"/>
    </xf>
    <xf numFmtId="43" fontId="0" fillId="0" borderId="6" xfId="1" applyFont="1" applyBorder="1" applyAlignment="1">
      <alignment vertical="center"/>
    </xf>
    <xf numFmtId="43" fontId="0" fillId="0" borderId="6" xfId="0" applyNumberFormat="1" applyBorder="1" applyAlignment="1">
      <alignment vertical="center"/>
    </xf>
    <xf numFmtId="43" fontId="0" fillId="0" borderId="53" xfId="1" applyFont="1" applyBorder="1" applyAlignment="1">
      <alignment vertical="center"/>
    </xf>
    <xf numFmtId="0" fontId="0" fillId="0" borderId="3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28" borderId="0" xfId="0" applyFill="1"/>
    <xf numFmtId="4" fontId="33" fillId="28" borderId="0" xfId="0" applyNumberFormat="1" applyFont="1" applyFill="1" applyAlignment="1">
      <alignment vertical="center"/>
    </xf>
    <xf numFmtId="4" fontId="32" fillId="28" borderId="0" xfId="0" applyNumberFormat="1" applyFont="1" applyFill="1" applyAlignment="1">
      <alignment vertical="center"/>
    </xf>
    <xf numFmtId="4" fontId="32" fillId="16" borderId="5" xfId="1" applyNumberFormat="1" applyFont="1" applyFill="1" applyBorder="1" applyAlignment="1">
      <alignment wrapText="1"/>
    </xf>
    <xf numFmtId="4" fontId="4" fillId="28" borderId="3" xfId="0" applyNumberFormat="1" applyFont="1" applyFill="1" applyBorder="1" applyAlignment="1">
      <alignment horizontal="right"/>
    </xf>
    <xf numFmtId="4" fontId="32" fillId="32" borderId="3" xfId="0" applyNumberFormat="1" applyFont="1" applyFill="1" applyBorder="1" applyAlignment="1">
      <alignment vertical="center"/>
    </xf>
    <xf numFmtId="4" fontId="10" fillId="28" borderId="0" xfId="1" applyNumberFormat="1" applyFont="1" applyFill="1" applyBorder="1" applyAlignment="1">
      <alignment vertical="center"/>
    </xf>
    <xf numFmtId="4" fontId="10" fillId="28" borderId="0" xfId="1" applyNumberFormat="1" applyFont="1" applyFill="1" applyAlignment="1">
      <alignment vertical="center"/>
    </xf>
    <xf numFmtId="4" fontId="10" fillId="28" borderId="3" xfId="1" applyNumberFormat="1" applyFont="1" applyFill="1" applyBorder="1" applyAlignment="1">
      <alignment vertical="center"/>
    </xf>
    <xf numFmtId="4" fontId="23" fillId="28" borderId="0" xfId="0" applyNumberFormat="1" applyFont="1" applyFill="1" applyAlignment="1">
      <alignment horizontal="left"/>
    </xf>
    <xf numFmtId="4" fontId="33" fillId="28" borderId="0" xfId="0" applyNumberFormat="1" applyFont="1" applyFill="1" applyAlignment="1">
      <alignment horizontal="center" vertical="center"/>
    </xf>
    <xf numFmtId="4" fontId="33" fillId="28" borderId="3" xfId="0" applyNumberFormat="1" applyFont="1" applyFill="1" applyBorder="1" applyAlignment="1">
      <alignment vertical="center"/>
    </xf>
    <xf numFmtId="4" fontId="32" fillId="28" borderId="0" xfId="0" applyNumberFormat="1" applyFont="1" applyFill="1"/>
    <xf numFmtId="4" fontId="2" fillId="28" borderId="4" xfId="0" applyNumberFormat="1" applyFont="1" applyFill="1" applyBorder="1" applyAlignment="1">
      <alignment vertical="center"/>
    </xf>
    <xf numFmtId="4" fontId="33" fillId="28" borderId="0" xfId="0" applyNumberFormat="1" applyFont="1" applyFill="1" applyAlignment="1">
      <alignment horizontal="center" vertical="center" wrapText="1"/>
    </xf>
    <xf numFmtId="4" fontId="33" fillId="28" borderId="2" xfId="1" applyNumberFormat="1" applyFont="1" applyFill="1" applyBorder="1" applyAlignment="1">
      <alignment horizontal="right" vertical="center"/>
    </xf>
    <xf numFmtId="4" fontId="33" fillId="28" borderId="0" xfId="1" applyNumberFormat="1" applyFont="1" applyFill="1" applyBorder="1"/>
    <xf numFmtId="0" fontId="23" fillId="28" borderId="23" xfId="0" applyFont="1" applyFill="1" applyBorder="1" applyAlignment="1">
      <alignment vertical="center" wrapText="1"/>
    </xf>
    <xf numFmtId="4" fontId="10" fillId="0" borderId="54" xfId="0" applyNumberFormat="1" applyFont="1" applyBorder="1" applyAlignment="1">
      <alignment vertical="center"/>
    </xf>
    <xf numFmtId="4" fontId="10" fillId="0" borderId="13" xfId="0" applyNumberFormat="1" applyFont="1" applyBorder="1" applyAlignment="1">
      <alignment vertical="center"/>
    </xf>
    <xf numFmtId="4" fontId="10" fillId="0" borderId="26" xfId="0" applyNumberFormat="1" applyFont="1" applyBorder="1" applyAlignment="1">
      <alignment vertical="center"/>
    </xf>
    <xf numFmtId="4" fontId="11" fillId="28" borderId="0" xfId="0" applyNumberFormat="1" applyFont="1" applyFill="1"/>
    <xf numFmtId="4" fontId="32" fillId="28" borderId="3" xfId="0" applyNumberFormat="1" applyFont="1" applyFill="1" applyBorder="1" applyAlignment="1">
      <alignment vertical="center"/>
    </xf>
    <xf numFmtId="14" fontId="23" fillId="28" borderId="0" xfId="0" applyNumberFormat="1" applyFont="1" applyFill="1" applyAlignment="1">
      <alignment vertical="center"/>
    </xf>
    <xf numFmtId="0" fontId="23" fillId="28" borderId="0" xfId="0" applyFont="1" applyFill="1" applyAlignment="1">
      <alignment vertical="center" wrapText="1"/>
    </xf>
    <xf numFmtId="4" fontId="2" fillId="28" borderId="0" xfId="0" applyNumberFormat="1" applyFont="1" applyFill="1" applyAlignment="1">
      <alignment vertical="center"/>
    </xf>
    <xf numFmtId="4" fontId="4" fillId="16" borderId="0" xfId="0" applyNumberFormat="1" applyFont="1" applyFill="1"/>
    <xf numFmtId="0" fontId="23" fillId="28" borderId="25" xfId="0" applyFont="1" applyFill="1" applyBorder="1" applyAlignment="1">
      <alignment horizontal="justify" vertical="justify" wrapText="1"/>
    </xf>
    <xf numFmtId="4" fontId="32" fillId="16" borderId="0" xfId="0" applyNumberFormat="1" applyFont="1" applyFill="1" applyAlignment="1">
      <alignment vertical="center"/>
    </xf>
    <xf numFmtId="4" fontId="10" fillId="16" borderId="0" xfId="0" applyNumberFormat="1" applyFont="1" applyFill="1" applyAlignment="1">
      <alignment vertical="center"/>
    </xf>
    <xf numFmtId="4" fontId="10" fillId="16" borderId="3" xfId="0" applyNumberFormat="1" applyFont="1" applyFill="1" applyBorder="1" applyAlignment="1">
      <alignment vertical="center"/>
    </xf>
    <xf numFmtId="4" fontId="32" fillId="16" borderId="3" xfId="0" applyNumberFormat="1" applyFont="1" applyFill="1" applyBorder="1" applyAlignment="1">
      <alignment vertical="center"/>
    </xf>
    <xf numFmtId="4" fontId="23" fillId="31" borderId="0" xfId="0" applyNumberFormat="1" applyFont="1" applyFill="1" applyAlignment="1">
      <alignment vertical="center"/>
    </xf>
    <xf numFmtId="4" fontId="10" fillId="31" borderId="0" xfId="0" applyNumberFormat="1" applyFont="1" applyFill="1" applyAlignment="1">
      <alignment vertical="center"/>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14" fontId="4" fillId="0" borderId="6" xfId="0" applyNumberFormat="1" applyFont="1" applyBorder="1" applyAlignment="1">
      <alignment horizontal="center" vertical="center"/>
    </xf>
    <xf numFmtId="4" fontId="4" fillId="28" borderId="6" xfId="0" applyNumberFormat="1" applyFont="1" applyFill="1" applyBorder="1" applyAlignment="1">
      <alignment horizontal="center" vertical="center"/>
    </xf>
    <xf numFmtId="0" fontId="29" fillId="34" borderId="55" xfId="0" applyFont="1" applyFill="1" applyBorder="1" applyAlignment="1">
      <alignment vertical="center" wrapText="1"/>
    </xf>
    <xf numFmtId="0" fontId="29" fillId="0" borderId="0" xfId="44"/>
    <xf numFmtId="43" fontId="111" fillId="0" borderId="0" xfId="44" applyNumberFormat="1" applyFont="1"/>
    <xf numFmtId="0" fontId="113" fillId="0" borderId="0" xfId="44" applyFont="1" applyAlignment="1">
      <alignment horizontal="center" vertical="center"/>
    </xf>
    <xf numFmtId="0" fontId="115" fillId="35" borderId="57" xfId="44" applyFont="1" applyFill="1" applyBorder="1" applyAlignment="1">
      <alignment horizontal="center" vertical="center" wrapText="1"/>
    </xf>
    <xf numFmtId="0" fontId="116" fillId="0" borderId="0" xfId="44" applyFont="1"/>
    <xf numFmtId="14" fontId="111" fillId="0" borderId="58" xfId="44" applyNumberFormat="1" applyFont="1" applyBorder="1" applyAlignment="1">
      <alignment horizontal="center" vertical="center" wrapText="1"/>
    </xf>
    <xf numFmtId="0" fontId="117" fillId="0" borderId="59" xfId="44" applyFont="1" applyBorder="1" applyAlignment="1">
      <alignment horizontal="center" vertical="center" wrapText="1"/>
    </xf>
    <xf numFmtId="176" fontId="117" fillId="0" borderId="59" xfId="44" applyNumberFormat="1" applyFont="1" applyBorder="1" applyAlignment="1">
      <alignment horizontal="center" vertical="center" wrapText="1"/>
    </xf>
    <xf numFmtId="43" fontId="117" fillId="0" borderId="60" xfId="44" applyNumberFormat="1" applyFont="1" applyBorder="1" applyAlignment="1">
      <alignment vertical="center" wrapText="1"/>
    </xf>
    <xf numFmtId="0" fontId="115" fillId="35" borderId="61" xfId="44" applyFont="1" applyFill="1" applyBorder="1" applyAlignment="1">
      <alignment horizontal="center" vertical="center" wrapText="1"/>
    </xf>
    <xf numFmtId="0" fontId="115" fillId="35" borderId="62" xfId="44" applyFont="1" applyFill="1" applyBorder="1" applyAlignment="1">
      <alignment horizontal="center" vertical="center" wrapText="1"/>
    </xf>
    <xf numFmtId="39" fontId="115" fillId="35" borderId="63" xfId="44" applyNumberFormat="1" applyFont="1" applyFill="1" applyBorder="1" applyAlignment="1">
      <alignment horizontal="right" vertical="center" wrapText="1"/>
    </xf>
    <xf numFmtId="14" fontId="111" fillId="0" borderId="0" xfId="44" applyNumberFormat="1" applyFont="1" applyAlignment="1">
      <alignment horizontal="center" vertical="center"/>
    </xf>
    <xf numFmtId="0" fontId="111" fillId="0" borderId="0" xfId="44" applyFont="1" applyAlignment="1">
      <alignment horizontal="center" vertical="center"/>
    </xf>
    <xf numFmtId="0" fontId="111" fillId="0" borderId="0" xfId="44" applyFont="1" applyAlignment="1">
      <alignment horizontal="center" vertical="center" wrapText="1"/>
    </xf>
    <xf numFmtId="4" fontId="111" fillId="0" borderId="0" xfId="44" applyNumberFormat="1" applyFont="1" applyAlignment="1">
      <alignment horizontal="center" vertical="center"/>
    </xf>
    <xf numFmtId="0" fontId="111" fillId="0" borderId="56" xfId="44" applyFont="1" applyBorder="1"/>
    <xf numFmtId="0" fontId="119" fillId="0" borderId="55" xfId="0" applyFont="1" applyBorder="1" applyAlignment="1">
      <alignment horizontal="left" vertical="center"/>
    </xf>
    <xf numFmtId="0" fontId="119" fillId="28" borderId="55" xfId="0" applyFont="1" applyFill="1" applyBorder="1" applyAlignment="1">
      <alignment horizontal="left" vertical="center"/>
    </xf>
    <xf numFmtId="0" fontId="115" fillId="35" borderId="65" xfId="44" applyFont="1" applyFill="1" applyBorder="1" applyAlignment="1">
      <alignment horizontal="center" vertical="center" wrapText="1"/>
    </xf>
    <xf numFmtId="0" fontId="115" fillId="35" borderId="66" xfId="44" applyFont="1" applyFill="1" applyBorder="1" applyAlignment="1">
      <alignment horizontal="center" vertical="center" wrapText="1"/>
    </xf>
    <xf numFmtId="0" fontId="115" fillId="35" borderId="67" xfId="44" applyFont="1" applyFill="1" applyBorder="1" applyAlignment="1">
      <alignment horizontal="center" vertical="center" wrapText="1"/>
    </xf>
    <xf numFmtId="176" fontId="29" fillId="0" borderId="23" xfId="44" applyNumberFormat="1" applyBorder="1"/>
    <xf numFmtId="43" fontId="111" fillId="0" borderId="26" xfId="44" applyNumberFormat="1" applyFont="1" applyBorder="1"/>
    <xf numFmtId="0" fontId="120" fillId="0" borderId="0" xfId="55"/>
    <xf numFmtId="43" fontId="121" fillId="0" borderId="0" xfId="55" applyNumberFormat="1" applyFont="1" applyAlignment="1">
      <alignment horizontal="right"/>
    </xf>
    <xf numFmtId="0" fontId="122" fillId="0" borderId="0" xfId="55" applyFont="1" applyAlignment="1">
      <alignment horizontal="center" vertical="center"/>
    </xf>
    <xf numFmtId="0" fontId="123" fillId="0" borderId="0" xfId="55" applyFont="1"/>
    <xf numFmtId="14" fontId="124" fillId="0" borderId="5" xfId="55" applyNumberFormat="1" applyFont="1" applyBorder="1" applyAlignment="1">
      <alignment horizontal="center" vertical="center"/>
    </xf>
    <xf numFmtId="0" fontId="124" fillId="0" borderId="68" xfId="55" applyFont="1" applyBorder="1" applyAlignment="1">
      <alignment horizontal="center" vertical="center"/>
    </xf>
    <xf numFmtId="0" fontId="124" fillId="0" borderId="5" xfId="55" applyFont="1" applyBorder="1" applyAlignment="1">
      <alignment horizontal="center" vertical="center"/>
    </xf>
    <xf numFmtId="0" fontId="124" fillId="0" borderId="5" xfId="55" applyFont="1" applyBorder="1" applyAlignment="1">
      <alignment horizontal="left" vertical="center" wrapText="1"/>
    </xf>
    <xf numFmtId="0" fontId="124" fillId="0" borderId="0" xfId="55" applyFont="1" applyAlignment="1">
      <alignment horizontal="left" vertical="center" wrapText="1"/>
    </xf>
    <xf numFmtId="4" fontId="126" fillId="0" borderId="26" xfId="55" applyNumberFormat="1" applyFont="1" applyBorder="1" applyAlignment="1">
      <alignment horizontal="right" vertical="center"/>
    </xf>
    <xf numFmtId="14" fontId="124" fillId="0" borderId="23" xfId="55" applyNumberFormat="1" applyFont="1" applyBorder="1" applyAlignment="1">
      <alignment horizontal="center" vertical="center"/>
    </xf>
    <xf numFmtId="0" fontId="127" fillId="0" borderId="0" xfId="55" applyFont="1"/>
    <xf numFmtId="14" fontId="120" fillId="0" borderId="11" xfId="55" applyNumberFormat="1" applyBorder="1" applyAlignment="1">
      <alignment horizontal="center" vertical="center"/>
    </xf>
    <xf numFmtId="14" fontId="120" fillId="0" borderId="23" xfId="55" applyNumberFormat="1" applyBorder="1" applyAlignment="1">
      <alignment horizontal="center" vertical="center"/>
    </xf>
    <xf numFmtId="14" fontId="120" fillId="0" borderId="28" xfId="55" applyNumberFormat="1" applyBorder="1" applyAlignment="1">
      <alignment horizontal="center" vertical="center"/>
    </xf>
    <xf numFmtId="0" fontId="115" fillId="35" borderId="69" xfId="44" applyFont="1" applyFill="1" applyBorder="1" applyAlignment="1">
      <alignment horizontal="center" vertical="center" wrapText="1"/>
    </xf>
    <xf numFmtId="0" fontId="115" fillId="35" borderId="70" xfId="44" applyFont="1" applyFill="1" applyBorder="1" applyAlignment="1">
      <alignment horizontal="center" vertical="center" wrapText="1"/>
    </xf>
    <xf numFmtId="39" fontId="115" fillId="35" borderId="71" xfId="44" applyNumberFormat="1" applyFont="1" applyFill="1" applyBorder="1" applyAlignment="1">
      <alignment horizontal="right" vertical="center" wrapText="1"/>
    </xf>
    <xf numFmtId="0" fontId="119" fillId="0" borderId="5" xfId="0" applyFont="1" applyBorder="1" applyAlignment="1">
      <alignment horizontal="left" vertical="center"/>
    </xf>
    <xf numFmtId="0" fontId="119" fillId="28" borderId="5" xfId="0" applyFont="1" applyFill="1" applyBorder="1" applyAlignment="1">
      <alignment horizontal="left" vertical="center"/>
    </xf>
    <xf numFmtId="0" fontId="119" fillId="0" borderId="31" xfId="0" applyFont="1" applyBorder="1" applyAlignment="1">
      <alignment horizontal="left" vertical="center"/>
    </xf>
    <xf numFmtId="0" fontId="119" fillId="0" borderId="7" xfId="0" applyFont="1" applyBorder="1" applyAlignment="1">
      <alignment horizontal="left" vertical="center"/>
    </xf>
    <xf numFmtId="43" fontId="121" fillId="0" borderId="32" xfId="55" applyNumberFormat="1" applyFont="1" applyBorder="1" applyAlignment="1">
      <alignment horizontal="left" vertical="center"/>
    </xf>
    <xf numFmtId="0" fontId="120" fillId="0" borderId="5" xfId="55" applyBorder="1" applyAlignment="1">
      <alignment horizontal="left" vertical="center"/>
    </xf>
    <xf numFmtId="43" fontId="121" fillId="0" borderId="26" xfId="55" applyNumberFormat="1" applyFont="1" applyBorder="1" applyAlignment="1">
      <alignment horizontal="left" vertical="center"/>
    </xf>
    <xf numFmtId="43" fontId="121" fillId="0" borderId="34" xfId="55" applyNumberFormat="1" applyFont="1" applyBorder="1" applyAlignment="1">
      <alignment horizontal="left" vertical="center"/>
    </xf>
    <xf numFmtId="14" fontId="124" fillId="0" borderId="11" xfId="55" applyNumberFormat="1" applyFont="1" applyBorder="1" applyAlignment="1">
      <alignment horizontal="center" vertical="center"/>
    </xf>
    <xf numFmtId="0" fontId="124" fillId="0" borderId="72" xfId="55" applyFont="1" applyBorder="1" applyAlignment="1">
      <alignment horizontal="center" vertical="center"/>
    </xf>
    <xf numFmtId="14" fontId="124" fillId="0" borderId="31" xfId="55" applyNumberFormat="1" applyFont="1" applyBorder="1" applyAlignment="1">
      <alignment horizontal="center" vertical="center"/>
    </xf>
    <xf numFmtId="0" fontId="124" fillId="0" borderId="31" xfId="55" applyFont="1" applyBorder="1" applyAlignment="1">
      <alignment horizontal="center" vertical="center"/>
    </xf>
    <xf numFmtId="0" fontId="124" fillId="0" borderId="31" xfId="55" applyFont="1" applyBorder="1" applyAlignment="1">
      <alignment horizontal="left" vertical="center" wrapText="1"/>
    </xf>
    <xf numFmtId="4" fontId="124" fillId="0" borderId="73" xfId="55" applyNumberFormat="1" applyFont="1" applyBorder="1" applyAlignment="1">
      <alignment horizontal="right" vertical="center"/>
    </xf>
    <xf numFmtId="4" fontId="124" fillId="0" borderId="26" xfId="55" applyNumberFormat="1" applyFont="1" applyBorder="1" applyAlignment="1">
      <alignment horizontal="right" vertical="center"/>
    </xf>
    <xf numFmtId="14" fontId="124" fillId="0" borderId="28" xfId="55" applyNumberFormat="1" applyFont="1" applyBorder="1" applyAlignment="1">
      <alignment horizontal="center" vertical="center"/>
    </xf>
    <xf numFmtId="0" fontId="124" fillId="0" borderId="74" xfId="55" applyFont="1" applyBorder="1" applyAlignment="1">
      <alignment horizontal="center" vertical="center"/>
    </xf>
    <xf numFmtId="14" fontId="124" fillId="0" borderId="7" xfId="55" applyNumberFormat="1" applyFont="1" applyBorder="1" applyAlignment="1">
      <alignment horizontal="center" vertical="center"/>
    </xf>
    <xf numFmtId="0" fontId="124" fillId="0" borderId="7" xfId="55" applyFont="1" applyBorder="1" applyAlignment="1">
      <alignment horizontal="center" vertical="center"/>
    </xf>
    <xf numFmtId="0" fontId="124" fillId="0" borderId="7" xfId="55" applyFont="1" applyBorder="1" applyAlignment="1">
      <alignment horizontal="left" vertical="center" wrapText="1"/>
    </xf>
    <xf numFmtId="4" fontId="124" fillId="0" borderId="34" xfId="55" applyNumberFormat="1" applyFont="1" applyBorder="1" applyAlignment="1">
      <alignment horizontal="right" vertical="center"/>
    </xf>
    <xf numFmtId="0" fontId="85" fillId="0" borderId="0" xfId="0" applyFont="1" applyAlignment="1">
      <alignment horizontal="center"/>
    </xf>
    <xf numFmtId="0" fontId="58" fillId="0" borderId="0" xfId="0" applyFont="1" applyAlignment="1">
      <alignment horizontal="center" vertical="center"/>
    </xf>
    <xf numFmtId="14" fontId="0" fillId="0" borderId="11" xfId="0" applyNumberFormat="1" applyBorder="1" applyAlignment="1">
      <alignment horizontal="center" vertical="center"/>
    </xf>
    <xf numFmtId="43" fontId="5" fillId="0" borderId="32" xfId="1" applyFont="1" applyBorder="1" applyAlignment="1">
      <alignment horizontal="left" vertical="center" wrapText="1"/>
    </xf>
    <xf numFmtId="0" fontId="23" fillId="28" borderId="0" xfId="0" applyFont="1" applyFill="1" applyAlignment="1">
      <alignment wrapText="1"/>
    </xf>
    <xf numFmtId="4" fontId="63" fillId="28" borderId="0" xfId="0" applyNumberFormat="1" applyFont="1" applyFill="1"/>
    <xf numFmtId="0" fontId="63" fillId="28" borderId="0" xfId="0" applyFont="1" applyFill="1" applyAlignment="1">
      <alignment vertical="center"/>
    </xf>
    <xf numFmtId="0" fontId="63" fillId="28" borderId="0" xfId="0" applyFont="1" applyFill="1" applyAlignment="1">
      <alignment horizontal="left" wrapText="1"/>
    </xf>
    <xf numFmtId="4" fontId="39" fillId="0" borderId="0" xfId="0" applyNumberFormat="1" applyFont="1"/>
    <xf numFmtId="4" fontId="35" fillId="24" borderId="0" xfId="1" applyNumberFormat="1" applyFont="1" applyFill="1"/>
    <xf numFmtId="0" fontId="35" fillId="28" borderId="0" xfId="0" applyFont="1" applyFill="1" applyAlignment="1">
      <alignment horizontal="center" vertical="center"/>
    </xf>
    <xf numFmtId="0" fontId="36" fillId="28" borderId="0" xfId="0" applyFont="1" applyFill="1"/>
    <xf numFmtId="0" fontId="0" fillId="28" borderId="0" xfId="0" applyFill="1" applyAlignment="1">
      <alignment horizontal="right"/>
    </xf>
    <xf numFmtId="0" fontId="0" fillId="28" borderId="0" xfId="0" applyFill="1" applyAlignment="1">
      <alignment horizontal="center"/>
    </xf>
    <xf numFmtId="43" fontId="0" fillId="28" borderId="0" xfId="1" applyFont="1" applyFill="1"/>
    <xf numFmtId="4" fontId="12" fillId="30" borderId="0" xfId="1" applyNumberFormat="1" applyFont="1" applyFill="1" applyBorder="1"/>
    <xf numFmtId="4" fontId="33" fillId="31" borderId="0" xfId="1" applyNumberFormat="1" applyFont="1" applyFill="1" applyBorder="1" applyAlignment="1">
      <alignment wrapText="1"/>
    </xf>
    <xf numFmtId="4" fontId="1" fillId="16" borderId="0" xfId="1" applyNumberFormat="1" applyFont="1" applyFill="1" applyBorder="1"/>
    <xf numFmtId="4" fontId="2" fillId="16" borderId="0" xfId="1" applyNumberFormat="1" applyFont="1" applyFill="1" applyBorder="1"/>
    <xf numFmtId="177" fontId="10" fillId="0" borderId="0" xfId="1" applyNumberFormat="1" applyFont="1" applyFill="1" applyBorder="1"/>
    <xf numFmtId="4" fontId="0" fillId="0" borderId="29" xfId="0" applyNumberFormat="1" applyBorder="1"/>
    <xf numFmtId="43" fontId="36" fillId="0" borderId="3" xfId="1" applyFont="1" applyBorder="1"/>
    <xf numFmtId="0" fontId="0" fillId="0" borderId="0" xfId="0" applyAlignment="1">
      <alignment horizontal="center"/>
    </xf>
    <xf numFmtId="49" fontId="0" fillId="0" borderId="0" xfId="0" applyNumberFormat="1" applyAlignment="1">
      <alignment horizontal="justify" vertical="justify" wrapText="1"/>
    </xf>
    <xf numFmtId="0" fontId="0" fillId="28" borderId="0" xfId="0" applyFill="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60" fillId="18" borderId="20" xfId="33" applyFont="1" applyFill="1" applyBorder="1" applyAlignment="1">
      <alignment horizontal="center" vertical="center"/>
    </xf>
    <xf numFmtId="0" fontId="60" fillId="18" borderId="0" xfId="33" applyFont="1" applyFill="1" applyBorder="1" applyAlignment="1">
      <alignment horizontal="center" vertical="center"/>
    </xf>
    <xf numFmtId="0" fontId="41" fillId="18" borderId="20" xfId="32" applyFont="1" applyFill="1" applyBorder="1" applyAlignment="1">
      <alignment horizontal="center"/>
    </xf>
    <xf numFmtId="0" fontId="41" fillId="18" borderId="0" xfId="32" applyFont="1" applyFill="1" applyBorder="1" applyAlignment="1">
      <alignment horizontal="center"/>
    </xf>
    <xf numFmtId="0" fontId="62" fillId="0" borderId="0" xfId="0" applyFont="1" applyAlignment="1">
      <alignment horizontal="center"/>
    </xf>
    <xf numFmtId="0" fontId="49" fillId="22" borderId="18" xfId="31" applyFont="1" applyFill="1" applyBorder="1" applyAlignment="1">
      <alignment horizontal="center" vertical="center"/>
    </xf>
    <xf numFmtId="0" fontId="49" fillId="22" borderId="19" xfId="31" applyFont="1" applyFill="1" applyBorder="1" applyAlignment="1">
      <alignment horizontal="center" vertical="center"/>
    </xf>
    <xf numFmtId="0" fontId="36" fillId="0" borderId="0" xfId="0" applyFont="1" applyAlignment="1">
      <alignment horizontal="center"/>
    </xf>
    <xf numFmtId="4" fontId="10" fillId="0" borderId="0" xfId="0" applyNumberFormat="1" applyFont="1" applyAlignment="1">
      <alignment horizontal="center"/>
    </xf>
    <xf numFmtId="4" fontId="37" fillId="0" borderId="0" xfId="0" applyNumberFormat="1" applyFont="1" applyAlignment="1">
      <alignment horizontal="justify" vertical="justify" wrapText="1"/>
    </xf>
    <xf numFmtId="0" fontId="49" fillId="22" borderId="15" xfId="31" applyFont="1" applyFill="1" applyBorder="1" applyAlignment="1">
      <alignment horizontal="center" vertical="center"/>
    </xf>
    <xf numFmtId="0" fontId="49" fillId="22" borderId="18" xfId="31" applyFont="1" applyFill="1" applyBorder="1" applyAlignment="1">
      <alignment horizontal="center" vertical="center" wrapText="1"/>
    </xf>
    <xf numFmtId="0" fontId="49" fillId="22" borderId="19" xfId="31" applyFont="1" applyFill="1" applyBorder="1" applyAlignment="1">
      <alignment horizontal="center" vertical="center" wrapText="1"/>
    </xf>
    <xf numFmtId="0" fontId="93" fillId="0" borderId="0" xfId="0" applyFont="1" applyAlignment="1">
      <alignment horizontal="center" vertical="center"/>
    </xf>
    <xf numFmtId="0" fontId="0" fillId="0" borderId="22" xfId="0" applyBorder="1" applyAlignment="1">
      <alignment horizontal="center"/>
    </xf>
    <xf numFmtId="0" fontId="2" fillId="0" borderId="0" xfId="0" applyFont="1" applyAlignment="1">
      <alignment horizontal="center" wrapText="1"/>
    </xf>
    <xf numFmtId="0" fontId="0" fillId="0" borderId="0" xfId="0" applyAlignment="1">
      <alignment horizontal="left" vertical="center"/>
    </xf>
    <xf numFmtId="0" fontId="10" fillId="0" borderId="0" xfId="0" applyFont="1" applyAlignment="1">
      <alignment horizontal="left" vertical="center"/>
    </xf>
    <xf numFmtId="0" fontId="46" fillId="0" borderId="0" xfId="0" applyFont="1" applyAlignment="1">
      <alignment horizontal="center" vertical="center"/>
    </xf>
    <xf numFmtId="0" fontId="46" fillId="0" borderId="0" xfId="0" applyFont="1" applyAlignment="1">
      <alignment horizontal="center"/>
    </xf>
    <xf numFmtId="0" fontId="0" fillId="0" borderId="0" xfId="0"/>
    <xf numFmtId="0" fontId="85" fillId="0" borderId="0" xfId="0" applyFont="1" applyAlignment="1">
      <alignment horizontal="center"/>
    </xf>
    <xf numFmtId="0" fontId="58" fillId="0" borderId="0" xfId="0" applyFont="1" applyAlignment="1">
      <alignment horizontal="center" vertical="center"/>
    </xf>
    <xf numFmtId="0" fontId="53" fillId="13" borderId="0" xfId="0" applyFont="1" applyFill="1" applyAlignment="1">
      <alignment horizontal="center" vertical="center"/>
    </xf>
    <xf numFmtId="0" fontId="29" fillId="14" borderId="0" xfId="0" applyFont="1" applyFill="1" applyAlignment="1">
      <alignment horizontal="left" vertical="center" wrapText="1"/>
    </xf>
    <xf numFmtId="0" fontId="23" fillId="26" borderId="0" xfId="0" applyFont="1" applyFill="1" applyAlignment="1">
      <alignment horizontal="left" vertical="center" wrapText="1"/>
    </xf>
    <xf numFmtId="0" fontId="29" fillId="26" borderId="0" xfId="0" applyFont="1" applyFill="1" applyAlignment="1">
      <alignment horizontal="left" wrapText="1"/>
    </xf>
    <xf numFmtId="0" fontId="10" fillId="26" borderId="0" xfId="0" applyFont="1" applyFill="1" applyAlignment="1">
      <alignment horizontal="left" vertical="center" wrapText="1"/>
    </xf>
    <xf numFmtId="0" fontId="23" fillId="26" borderId="0" xfId="0" applyFont="1" applyFill="1" applyAlignment="1">
      <alignment horizontal="left" wrapText="1"/>
    </xf>
    <xf numFmtId="2" fontId="23" fillId="26" borderId="0" xfId="0" applyNumberFormat="1" applyFont="1" applyFill="1" applyAlignment="1">
      <alignment horizontal="justify" vertical="justify" wrapText="1"/>
    </xf>
    <xf numFmtId="0" fontId="23" fillId="26" borderId="0" xfId="0" applyFont="1" applyFill="1" applyAlignment="1">
      <alignment horizontal="left" vertical="justify"/>
    </xf>
    <xf numFmtId="0" fontId="29" fillId="26" borderId="0" xfId="0" applyFont="1" applyFill="1" applyAlignment="1">
      <alignment horizontal="left" vertical="center" wrapText="1"/>
    </xf>
    <xf numFmtId="0" fontId="14" fillId="0" borderId="0" xfId="22" applyFont="1" applyAlignment="1">
      <alignment horizontal="center"/>
    </xf>
    <xf numFmtId="0" fontId="9" fillId="0" borderId="0" xfId="0" applyFont="1" applyAlignment="1">
      <alignment horizontal="center" vertical="center"/>
    </xf>
    <xf numFmtId="0" fontId="29" fillId="0" borderId="0" xfId="0" applyFont="1" applyAlignment="1">
      <alignment horizontal="justify" vertical="justify" wrapText="1"/>
    </xf>
    <xf numFmtId="0" fontId="33" fillId="24" borderId="0" xfId="0" applyFont="1" applyFill="1" applyAlignment="1">
      <alignment horizontal="left" vertical="center" wrapText="1"/>
    </xf>
    <xf numFmtId="0" fontId="29" fillId="26" borderId="0" xfId="0" applyFont="1" applyFill="1" applyAlignment="1">
      <alignment horizontal="justify" vertical="center" wrapText="1"/>
    </xf>
    <xf numFmtId="49" fontId="10" fillId="26" borderId="0" xfId="0" applyNumberFormat="1" applyFont="1" applyFill="1" applyAlignment="1">
      <alignment horizontal="justify" vertical="justify" wrapText="1"/>
    </xf>
    <xf numFmtId="0" fontId="10" fillId="14" borderId="0" xfId="0" applyFont="1" applyFill="1" applyAlignment="1">
      <alignment horizontal="left" vertical="center" wrapText="1"/>
    </xf>
    <xf numFmtId="0" fontId="10" fillId="14" borderId="0" xfId="0" applyFont="1" applyFill="1" applyAlignment="1">
      <alignment horizontal="justify" vertical="justify" wrapText="1"/>
    </xf>
    <xf numFmtId="0" fontId="23" fillId="0" borderId="0" xfId="0" applyFont="1" applyAlignment="1">
      <alignment horizontal="justify" vertical="center" wrapText="1"/>
    </xf>
    <xf numFmtId="0" fontId="23" fillId="0" borderId="0" xfId="0" applyFont="1" applyAlignment="1">
      <alignment horizontal="left" vertical="top" wrapText="1"/>
    </xf>
    <xf numFmtId="0" fontId="23" fillId="0" borderId="0" xfId="0" applyFont="1" applyAlignment="1">
      <alignment horizontal="left" wrapText="1"/>
    </xf>
    <xf numFmtId="0" fontId="23" fillId="0" borderId="0" xfId="0" applyFont="1" applyAlignment="1">
      <alignment horizontal="center"/>
    </xf>
    <xf numFmtId="0" fontId="82" fillId="0" borderId="0" xfId="0" applyFont="1" applyAlignment="1">
      <alignment horizontal="center"/>
    </xf>
    <xf numFmtId="0" fontId="71" fillId="0" borderId="0" xfId="0" applyFont="1" applyAlignment="1">
      <alignment horizontal="center"/>
    </xf>
    <xf numFmtId="0" fontId="83" fillId="0" borderId="0" xfId="0" applyFont="1" applyAlignment="1">
      <alignment horizontal="center"/>
    </xf>
    <xf numFmtId="0" fontId="30" fillId="0" borderId="0" xfId="0" applyFont="1" applyAlignment="1">
      <alignment horizontal="center" vertical="center"/>
    </xf>
    <xf numFmtId="0" fontId="25" fillId="0" borderId="0" xfId="0" applyFont="1" applyAlignment="1">
      <alignment horizontal="center"/>
    </xf>
    <xf numFmtId="0" fontId="98" fillId="0" borderId="0" xfId="0" applyFont="1" applyAlignment="1">
      <alignment horizontal="center" vertical="center"/>
    </xf>
    <xf numFmtId="0" fontId="41" fillId="18" borderId="18" xfId="19" applyFont="1" applyFill="1" applyBorder="1" applyAlignment="1">
      <alignment horizontal="center" vertical="center" wrapText="1"/>
    </xf>
    <xf numFmtId="0" fontId="41" fillId="18" borderId="15" xfId="19" applyFont="1" applyFill="1" applyBorder="1" applyAlignment="1">
      <alignment horizontal="center" vertical="center" wrapText="1"/>
    </xf>
    <xf numFmtId="0" fontId="41" fillId="18" borderId="19" xfId="19" applyFont="1" applyFill="1" applyBorder="1" applyAlignment="1">
      <alignment horizontal="center" vertical="center" wrapText="1"/>
    </xf>
    <xf numFmtId="0" fontId="5" fillId="0" borderId="8" xfId="0" applyFont="1" applyBorder="1" applyAlignment="1">
      <alignment horizontal="left" vertical="center" wrapText="1"/>
    </xf>
    <xf numFmtId="0" fontId="76" fillId="0" borderId="0" xfId="0" applyFont="1" applyAlignment="1">
      <alignment horizontal="center"/>
    </xf>
    <xf numFmtId="0" fontId="5" fillId="0" borderId="31" xfId="0" applyFont="1" applyBorder="1" applyAlignment="1">
      <alignment horizontal="left" vertical="center" wrapText="1"/>
    </xf>
    <xf numFmtId="0" fontId="27" fillId="0" borderId="0" xfId="22" applyFont="1" applyAlignment="1">
      <alignment horizontal="center"/>
    </xf>
    <xf numFmtId="0" fontId="15" fillId="0" borderId="0" xfId="22" applyFont="1" applyAlignment="1">
      <alignment horizontal="center" vertical="center"/>
    </xf>
    <xf numFmtId="0" fontId="5" fillId="0" borderId="0" xfId="0" applyFont="1"/>
    <xf numFmtId="0" fontId="58" fillId="0" borderId="0" xfId="0" applyFont="1" applyAlignment="1">
      <alignment horizontal="center"/>
    </xf>
    <xf numFmtId="0" fontId="59" fillId="0" borderId="0" xfId="0" applyFont="1" applyAlignment="1">
      <alignment horizontal="center"/>
    </xf>
    <xf numFmtId="0" fontId="13" fillId="0" borderId="0" xfId="0" applyFont="1" applyAlignment="1">
      <alignment horizontal="center" vertical="center"/>
    </xf>
    <xf numFmtId="0" fontId="5" fillId="0" borderId="0" xfId="0" applyFont="1" applyAlignment="1">
      <alignment horizontal="left"/>
    </xf>
    <xf numFmtId="0" fontId="16" fillId="0" borderId="0" xfId="22" applyFont="1" applyAlignment="1">
      <alignment horizontal="center"/>
    </xf>
    <xf numFmtId="0" fontId="110" fillId="0" borderId="0" xfId="22" applyFont="1" applyAlignment="1">
      <alignment horizontal="center"/>
    </xf>
    <xf numFmtId="0" fontId="15" fillId="0" borderId="0" xfId="22" applyFont="1" applyAlignment="1">
      <alignment horizontal="center"/>
    </xf>
    <xf numFmtId="4" fontId="16" fillId="12" borderId="17" xfId="22" applyNumberFormat="1" applyFont="1" applyFill="1" applyBorder="1" applyAlignment="1">
      <alignment horizontal="center" vertical="center"/>
    </xf>
    <xf numFmtId="4" fontId="16" fillId="12" borderId="21" xfId="22" applyNumberFormat="1" applyFont="1" applyFill="1" applyBorder="1" applyAlignment="1">
      <alignment horizontal="center" vertical="center"/>
    </xf>
    <xf numFmtId="4" fontId="16" fillId="12" borderId="18" xfId="22" applyNumberFormat="1" applyFont="1" applyFill="1" applyBorder="1" applyAlignment="1">
      <alignment horizontal="center" vertical="center"/>
    </xf>
    <xf numFmtId="4" fontId="16" fillId="12" borderId="19" xfId="22" applyNumberFormat="1" applyFont="1" applyFill="1" applyBorder="1" applyAlignment="1">
      <alignment horizontal="center" vertical="center"/>
    </xf>
    <xf numFmtId="4" fontId="16" fillId="12" borderId="15" xfId="22" applyNumberFormat="1" applyFont="1" applyFill="1" applyBorder="1" applyAlignment="1">
      <alignment horizontal="center" vertical="center"/>
    </xf>
    <xf numFmtId="0" fontId="100" fillId="0" borderId="0" xfId="0" applyFont="1" applyAlignment="1">
      <alignment horizontal="center"/>
    </xf>
    <xf numFmtId="0" fontId="30" fillId="0" borderId="0" xfId="0" applyFont="1" applyAlignment="1">
      <alignment horizontal="center"/>
    </xf>
    <xf numFmtId="0" fontId="69" fillId="0" borderId="0" xfId="0" applyFont="1" applyAlignment="1">
      <alignment horizontal="center" vertical="center"/>
    </xf>
    <xf numFmtId="0" fontId="0" fillId="0" borderId="0" xfId="0" applyAlignment="1">
      <alignment horizontal="center" vertical="center"/>
    </xf>
    <xf numFmtId="0" fontId="89" fillId="0" borderId="0" xfId="0" applyFont="1" applyAlignment="1">
      <alignment horizontal="center"/>
    </xf>
    <xf numFmtId="0" fontId="72" fillId="0" borderId="0" xfId="0" applyFont="1" applyAlignment="1">
      <alignment horizontal="center"/>
    </xf>
    <xf numFmtId="0" fontId="112" fillId="0" borderId="0" xfId="44" applyFont="1" applyAlignment="1">
      <alignment horizontal="center" vertical="center"/>
    </xf>
    <xf numFmtId="0" fontId="29" fillId="0" borderId="0" xfId="44"/>
    <xf numFmtId="0" fontId="114" fillId="0" borderId="0" xfId="44" applyFont="1" applyAlignment="1">
      <alignment horizontal="center"/>
    </xf>
    <xf numFmtId="0" fontId="57" fillId="0" borderId="56" xfId="44" applyFont="1" applyBorder="1" applyAlignment="1">
      <alignment horizontal="center" vertical="center"/>
    </xf>
    <xf numFmtId="0" fontId="6" fillId="0" borderId="56" xfId="44" applyFont="1" applyBorder="1"/>
    <xf numFmtId="0" fontId="118" fillId="0" borderId="64" xfId="44" applyFont="1" applyBorder="1" applyAlignment="1">
      <alignment horizontal="center"/>
    </xf>
    <xf numFmtId="0" fontId="6" fillId="0" borderId="64" xfId="44" applyFont="1" applyBorder="1"/>
    <xf numFmtId="0" fontId="122" fillId="0" borderId="0" xfId="55" applyFont="1" applyAlignment="1">
      <alignment horizontal="center" vertical="center"/>
    </xf>
    <xf numFmtId="0" fontId="123" fillId="0" borderId="0" xfId="55" applyFont="1"/>
    <xf numFmtId="0" fontId="124" fillId="0" borderId="0" xfId="55" applyFont="1" applyAlignment="1">
      <alignment horizontal="center"/>
    </xf>
    <xf numFmtId="0" fontId="57" fillId="0" borderId="56" xfId="55" applyFont="1" applyBorder="1" applyAlignment="1">
      <alignment horizontal="center" vertical="center"/>
    </xf>
    <xf numFmtId="0" fontId="125" fillId="0" borderId="56" xfId="55" applyFont="1" applyBorder="1"/>
    <xf numFmtId="0" fontId="2" fillId="16" borderId="0" xfId="0" applyFont="1" applyFill="1" applyAlignment="1">
      <alignment horizontal="center"/>
    </xf>
    <xf numFmtId="0" fontId="108" fillId="0" borderId="0" xfId="0" applyFont="1" applyAlignment="1">
      <alignment horizontal="center"/>
    </xf>
    <xf numFmtId="0" fontId="98" fillId="0" borderId="0" xfId="0" applyFont="1" applyAlignment="1">
      <alignment horizontal="center"/>
    </xf>
  </cellXfs>
  <cellStyles count="56">
    <cellStyle name="20% - Énfasis1 2" xfId="2" xr:uid="{00000000-0005-0000-0000-000001000000}"/>
    <cellStyle name="20% - Énfasis2 2" xfId="3" xr:uid="{00000000-0005-0000-0000-000002000000}"/>
    <cellStyle name="20% - Énfasis3 2" xfId="4" xr:uid="{00000000-0005-0000-0000-000003000000}"/>
    <cellStyle name="20% - Énfasis4 2" xfId="5" xr:uid="{00000000-0005-0000-0000-000004000000}"/>
    <cellStyle name="20% - Énfasis5" xfId="33" builtinId="46"/>
    <cellStyle name="40% - Énfasis3 2" xfId="6" xr:uid="{00000000-0005-0000-0000-000005000000}"/>
    <cellStyle name="60% - Énfasis3 2" xfId="7" xr:uid="{00000000-0005-0000-0000-000006000000}"/>
    <cellStyle name="60% - Énfasis4 2" xfId="8" xr:uid="{00000000-0005-0000-0000-000007000000}"/>
    <cellStyle name="60% - Énfasis6 2" xfId="9" xr:uid="{00000000-0005-0000-0000-000008000000}"/>
    <cellStyle name="Comma 2" xfId="10" xr:uid="{00000000-0005-0000-0000-00000C000000}"/>
    <cellStyle name="Comma 3" xfId="11" xr:uid="{00000000-0005-0000-0000-00000D000000}"/>
    <cellStyle name="Énfasis3" xfId="31" builtinId="37"/>
    <cellStyle name="Énfasis5" xfId="32" builtinId="45"/>
    <cellStyle name="Millares" xfId="1" builtinId="3"/>
    <cellStyle name="Millares 2" xfId="12" xr:uid="{00000000-0005-0000-0000-00000E000000}"/>
    <cellStyle name="Millares 2 2" xfId="13" xr:uid="{00000000-0005-0000-0000-00000F000000}"/>
    <cellStyle name="Millares 2 3" xfId="36" xr:uid="{99AFF43C-5226-4FF4-96C6-C6C615CD82BE}"/>
    <cellStyle name="Millares 3" xfId="14" xr:uid="{00000000-0005-0000-0000-000010000000}"/>
    <cellStyle name="Millares 4" xfId="15" xr:uid="{00000000-0005-0000-0000-000011000000}"/>
    <cellStyle name="Millares 5" xfId="23" xr:uid="{00000000-0005-0000-0000-000012000000}"/>
    <cellStyle name="Millares 5 2" xfId="30" xr:uid="{00000000-0005-0000-0000-000013000000}"/>
    <cellStyle name="Millares 6" xfId="24" xr:uid="{00000000-0005-0000-0000-000014000000}"/>
    <cellStyle name="Millares 7" xfId="25" xr:uid="{00000000-0005-0000-0000-000015000000}"/>
    <cellStyle name="Millares 8" xfId="38" xr:uid="{ABC695D6-C8D5-490B-9FD7-0DEA6E2BAD1F}"/>
    <cellStyle name="Millares 9" xfId="45" xr:uid="{5EB025D0-EB8C-4F8B-B90D-DE85722A584C}"/>
    <cellStyle name="Moneda 2" xfId="16" xr:uid="{00000000-0005-0000-0000-000016000000}"/>
    <cellStyle name="Normal" xfId="0" builtinId="0"/>
    <cellStyle name="Normal - Style1" xfId="17" xr:uid="{00000000-0005-0000-0000-000018000000}"/>
    <cellStyle name="Normal 10" xfId="39" xr:uid="{0A3B9559-1D54-4D4C-A8C6-27EB8A2AC5B3}"/>
    <cellStyle name="Normal 11" xfId="40" xr:uid="{C9C8801B-0D8F-41DF-99CD-C36F9E83747E}"/>
    <cellStyle name="Normal 12" xfId="41" xr:uid="{8CE007AA-948C-4E05-B5FA-76AB9B849850}"/>
    <cellStyle name="Normal 13" xfId="42" xr:uid="{6954F8A9-6735-4079-9130-FE402B5A54BA}"/>
    <cellStyle name="Normal 14" xfId="43" xr:uid="{AC054036-F44B-4F6C-BF7D-3E290647E19E}"/>
    <cellStyle name="Normal 15" xfId="44" xr:uid="{385BDDD8-EFF0-4230-A0EB-77E421F16C1C}"/>
    <cellStyle name="Normal 16" xfId="46" xr:uid="{4092150F-7705-4F1A-9759-A9A2B704B2F9}"/>
    <cellStyle name="Normal 17" xfId="47" xr:uid="{92C65CBF-DA63-478C-8170-3CB555E1491B}"/>
    <cellStyle name="Normal 18" xfId="48" xr:uid="{F3FBF216-4DE4-477F-9178-E424ACEAEF82}"/>
    <cellStyle name="Normal 19" xfId="49" xr:uid="{5F6F3C27-D384-4E34-9677-8CFC5C156E2A}"/>
    <cellStyle name="Normal 2" xfId="18" xr:uid="{00000000-0005-0000-0000-000019000000}"/>
    <cellStyle name="Normal 2 2" xfId="19" xr:uid="{00000000-0005-0000-0000-00001A000000}"/>
    <cellStyle name="Normal 20" xfId="50" xr:uid="{2D701BB8-1F77-4F2B-B521-A8AF7404B15F}"/>
    <cellStyle name="Normal 21" xfId="51" xr:uid="{3BD735C8-E330-4305-9BFB-15044F23124A}"/>
    <cellStyle name="Normal 22" xfId="52" xr:uid="{003D3A99-2BF2-49CC-8E2D-FD7EA1ACA0A7}"/>
    <cellStyle name="Normal 23" xfId="53" xr:uid="{7F13A706-4673-46B8-B60A-78160BB984E1}"/>
    <cellStyle name="Normal 24" xfId="54" xr:uid="{2044EEC6-B2AB-42D7-A383-7C619430935A}"/>
    <cellStyle name="Normal 25" xfId="55" xr:uid="{7557AF86-7729-4843-8FAC-3E0A5E819CF6}"/>
    <cellStyle name="Normal 3" xfId="20" xr:uid="{00000000-0005-0000-0000-00001B000000}"/>
    <cellStyle name="Normal 4" xfId="22" xr:uid="{00000000-0005-0000-0000-00001C000000}"/>
    <cellStyle name="Normal 4 2" xfId="29" xr:uid="{00000000-0005-0000-0000-00001D000000}"/>
    <cellStyle name="Normal 5" xfId="26" xr:uid="{00000000-0005-0000-0000-00001E000000}"/>
    <cellStyle name="Normal 6" xfId="27" xr:uid="{00000000-0005-0000-0000-00001F000000}"/>
    <cellStyle name="Normal 7" xfId="28" xr:uid="{00000000-0005-0000-0000-000020000000}"/>
    <cellStyle name="Normal 8" xfId="35" xr:uid="{3655D901-6EFC-465F-BC6A-7F1AF1A215AA}"/>
    <cellStyle name="Normal 9" xfId="37" xr:uid="{B5B858F5-A547-4F79-BDB6-E227F062546F}"/>
    <cellStyle name="Notas 2" xfId="21" xr:uid="{00000000-0005-0000-0000-000021000000}"/>
    <cellStyle name="Porcentaje" xfId="34" builtinId="5"/>
  </cellStyles>
  <dxfs count="19">
    <dxf>
      <font>
        <b val="0"/>
        <i val="0"/>
        <strike val="0"/>
        <condense val="0"/>
        <extend val="0"/>
        <outline val="0"/>
        <shadow val="0"/>
        <u val="none"/>
        <vertAlign val="baseline"/>
        <sz val="8"/>
        <color theme="1"/>
        <name val="Arial"/>
        <family val="2"/>
        <scheme val="none"/>
      </font>
      <fill>
        <patternFill patternType="solid">
          <fgColor indexed="64"/>
          <bgColor theme="9" tint="0.79998168889431442"/>
        </patternFill>
      </fill>
    </dxf>
    <dxf>
      <font>
        <strike val="0"/>
        <outline val="0"/>
        <shadow val="0"/>
        <u val="none"/>
        <vertAlign val="baseline"/>
        <name val="Arial"/>
        <scheme val="none"/>
      </font>
      <numFmt numFmtId="4" formatCode="#,##0.00"/>
    </dxf>
    <dxf>
      <font>
        <b val="0"/>
        <i val="0"/>
        <strike val="0"/>
        <condense val="0"/>
        <extend val="0"/>
        <outline val="0"/>
        <shadow val="0"/>
        <u val="none"/>
        <vertAlign val="baseline"/>
        <sz val="8"/>
        <color theme="1"/>
        <name val="Arial"/>
        <family val="2"/>
        <scheme val="none"/>
      </font>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border diagonalUp="0" diagonalDown="0">
        <left/>
        <right/>
        <top/>
        <bottom style="medium">
          <color indexed="64"/>
        </bottom>
        <vertical/>
        <horizontal/>
      </border>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8"/>
        <color theme="1"/>
        <name val="Arial"/>
        <family val="2"/>
        <scheme val="none"/>
      </font>
      <numFmt numFmtId="4" formatCode="#,##0.00"/>
      <fill>
        <patternFill patternType="solid">
          <fgColor indexed="64"/>
          <bgColor theme="9" tint="0.79998168889431442"/>
        </patternFill>
      </fill>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dxf>
    <dxf>
      <fill>
        <patternFill patternType="solid">
          <fgColor indexed="64"/>
          <bgColor theme="9" tint="0.79998168889431442"/>
        </patternFill>
      </fill>
    </dxf>
    <dxf>
      <font>
        <strike val="0"/>
        <outline val="0"/>
        <shadow val="0"/>
        <u val="none"/>
        <vertAlign val="baseline"/>
        <name val="Arial"/>
        <scheme val="none"/>
      </font>
    </dxf>
    <dxf>
      <border>
        <bottom style="medium">
          <color indexed="64"/>
        </bottom>
        <vertical/>
        <horizontal/>
      </border>
    </dxf>
    <dxf>
      <font>
        <b/>
        <strike val="0"/>
        <outline val="0"/>
        <shadow val="0"/>
        <u val="none"/>
        <vertAlign val="baseline"/>
        <sz val="8"/>
        <color theme="0"/>
        <name val="Calibri"/>
        <family val="2"/>
        <scheme val="minor"/>
      </font>
      <fill>
        <patternFill patternType="solid">
          <fgColor indexed="64"/>
          <bgColor rgb="FFEAB2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00"/>
      <color rgb="FF6DD1B9"/>
      <color rgb="FFF4D8F4"/>
      <color rgb="FFE8AEE8"/>
      <color rgb="FFFF0066"/>
      <color rgb="FFFFFFCC"/>
      <color rgb="FFFFFF99"/>
      <color rgb="FFE2BEE2"/>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21896</xdr:colOff>
      <xdr:row>0</xdr:row>
      <xdr:rowOff>2</xdr:rowOff>
    </xdr:from>
    <xdr:to>
      <xdr:col>2</xdr:col>
      <xdr:colOff>365125</xdr:colOff>
      <xdr:row>5</xdr:row>
      <xdr:rowOff>214313</xdr:rowOff>
    </xdr:to>
    <xdr:pic>
      <xdr:nvPicPr>
        <xdr:cNvPr id="2" name="1 Imagen" descr="logo odac.jpg">
          <a:extLst>
            <a:ext uri="{FF2B5EF4-FFF2-40B4-BE49-F238E27FC236}">
              <a16:creationId xmlns:a16="http://schemas.microsoft.com/office/drawing/2014/main" id="{3B74A5D8-4C71-4459-BC27-546CF11EBC64}"/>
            </a:ext>
          </a:extLst>
        </xdr:cNvPr>
        <xdr:cNvPicPr>
          <a:picLocks noChangeAspect="1"/>
        </xdr:cNvPicPr>
      </xdr:nvPicPr>
      <xdr:blipFill>
        <a:blip xmlns:r="http://schemas.openxmlformats.org/officeDocument/2006/relationships" r:embed="rId1" cstate="print"/>
        <a:stretch>
          <a:fillRect/>
        </a:stretch>
      </xdr:blipFill>
      <xdr:spPr>
        <a:xfrm>
          <a:off x="21896" y="2"/>
          <a:ext cx="1295729" cy="1127124"/>
        </a:xfrm>
        <a:prstGeom prst="rect">
          <a:avLst/>
        </a:prstGeom>
        <a:ln>
          <a:noFill/>
        </a:ln>
        <a:effectLst>
          <a:softEdge rad="112500"/>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236508</xdr:colOff>
      <xdr:row>2</xdr:row>
      <xdr:rowOff>381000</xdr:rowOff>
    </xdr:to>
    <xdr:pic>
      <xdr:nvPicPr>
        <xdr:cNvPr id="2" name="Imagen 1">
          <a:extLst>
            <a:ext uri="{FF2B5EF4-FFF2-40B4-BE49-F238E27FC236}">
              <a16:creationId xmlns:a16="http://schemas.microsoft.com/office/drawing/2014/main" id="{8D8A4AC0-06E5-4A12-8533-46AFA976010F}"/>
            </a:ext>
          </a:extLst>
        </xdr:cNvPr>
        <xdr:cNvPicPr>
          <a:picLocks noChangeAspect="1"/>
        </xdr:cNvPicPr>
      </xdr:nvPicPr>
      <xdr:blipFill>
        <a:blip xmlns:r="http://schemas.openxmlformats.org/officeDocument/2006/relationships" r:embed="rId1"/>
        <a:stretch>
          <a:fillRect/>
        </a:stretch>
      </xdr:blipFill>
      <xdr:spPr>
        <a:xfrm>
          <a:off x="0" y="0"/>
          <a:ext cx="1179483" cy="1095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285875" cy="1123950"/>
    <xdr:pic>
      <xdr:nvPicPr>
        <xdr:cNvPr id="2" name="1 Imagen" descr="logo odac.jpg">
          <a:extLst>
            <a:ext uri="{FF2B5EF4-FFF2-40B4-BE49-F238E27FC236}">
              <a16:creationId xmlns:a16="http://schemas.microsoft.com/office/drawing/2014/main" id="{33EA1538-A200-4CF4-A456-3A8C8A1B4E17}"/>
            </a:ext>
          </a:extLst>
        </xdr:cNvPr>
        <xdr:cNvPicPr>
          <a:picLocks noChangeAspect="1"/>
        </xdr:cNvPicPr>
      </xdr:nvPicPr>
      <xdr:blipFill>
        <a:blip xmlns:r="http://schemas.openxmlformats.org/officeDocument/2006/relationships" r:embed="rId1" cstate="print"/>
        <a:stretch>
          <a:fillRect/>
        </a:stretch>
      </xdr:blipFill>
      <xdr:spPr>
        <a:xfrm>
          <a:off x="0" y="0"/>
          <a:ext cx="1285875" cy="1123950"/>
        </a:xfrm>
        <a:prstGeom prst="rect">
          <a:avLst/>
        </a:prstGeom>
        <a:ln>
          <a:noFill/>
        </a:ln>
        <a:effectLst>
          <a:softEdge rad="112500"/>
        </a:effec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85849" cy="866774"/>
    <xdr:pic>
      <xdr:nvPicPr>
        <xdr:cNvPr id="3" name="1 Imagen" descr="logo odac.jpg">
          <a:extLst>
            <a:ext uri="{FF2B5EF4-FFF2-40B4-BE49-F238E27FC236}">
              <a16:creationId xmlns:a16="http://schemas.microsoft.com/office/drawing/2014/main" id="{E52973BD-6CE2-48E2-A865-5EB03AF80B72}"/>
            </a:ext>
          </a:extLst>
        </xdr:cNvPr>
        <xdr:cNvPicPr>
          <a:picLocks noChangeAspect="1"/>
        </xdr:cNvPicPr>
      </xdr:nvPicPr>
      <xdr:blipFill>
        <a:blip xmlns:r="http://schemas.openxmlformats.org/officeDocument/2006/relationships" r:embed="rId1" cstate="print"/>
        <a:stretch>
          <a:fillRect/>
        </a:stretch>
      </xdr:blipFill>
      <xdr:spPr>
        <a:xfrm>
          <a:off x="0" y="0"/>
          <a:ext cx="1085849" cy="866774"/>
        </a:xfrm>
        <a:prstGeom prst="rect">
          <a:avLst/>
        </a:prstGeom>
        <a:ln>
          <a:noFill/>
        </a:ln>
        <a:effectLst>
          <a:softEdge rad="112500"/>
        </a:effec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133475" cy="1104900"/>
    <xdr:pic>
      <xdr:nvPicPr>
        <xdr:cNvPr id="3" name="1 Imagen" descr="logo odac.jpg">
          <a:extLst>
            <a:ext uri="{FF2B5EF4-FFF2-40B4-BE49-F238E27FC236}">
              <a16:creationId xmlns:a16="http://schemas.microsoft.com/office/drawing/2014/main" id="{868E4C43-2A3B-44E9-A78E-A4BE38CADBF7}"/>
            </a:ext>
          </a:extLst>
        </xdr:cNvPr>
        <xdr:cNvPicPr>
          <a:picLocks noChangeAspect="1"/>
        </xdr:cNvPicPr>
      </xdr:nvPicPr>
      <xdr:blipFill>
        <a:blip xmlns:r="http://schemas.openxmlformats.org/officeDocument/2006/relationships" r:embed="rId1" cstate="print"/>
        <a:stretch>
          <a:fillRect/>
        </a:stretch>
      </xdr:blipFill>
      <xdr:spPr>
        <a:xfrm>
          <a:off x="0" y="0"/>
          <a:ext cx="1133475" cy="1104900"/>
        </a:xfrm>
        <a:prstGeom prst="rect">
          <a:avLst/>
        </a:prstGeom>
        <a:ln>
          <a:noFill/>
        </a:ln>
        <a:effectLst>
          <a:softEdge rad="112500"/>
        </a:effec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9525</xdr:rowOff>
    </xdr:from>
    <xdr:ext cx="1695450" cy="1419225"/>
    <xdr:pic>
      <xdr:nvPicPr>
        <xdr:cNvPr id="2" name="1 Imagen" descr="logo odac.jpg">
          <a:extLst>
            <a:ext uri="{FF2B5EF4-FFF2-40B4-BE49-F238E27FC236}">
              <a16:creationId xmlns:a16="http://schemas.microsoft.com/office/drawing/2014/main" id="{40C45573-4802-4470-89DB-4E9929E51457}"/>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3" name="1 Imagen" descr="logo odac.jpg">
          <a:extLst>
            <a:ext uri="{FF2B5EF4-FFF2-40B4-BE49-F238E27FC236}">
              <a16:creationId xmlns:a16="http://schemas.microsoft.com/office/drawing/2014/main" id="{96A13823-BDD0-4A11-AD0B-C18773E607F3}"/>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4" name="1 Imagen" descr="logo odac.jpg">
          <a:extLst>
            <a:ext uri="{FF2B5EF4-FFF2-40B4-BE49-F238E27FC236}">
              <a16:creationId xmlns:a16="http://schemas.microsoft.com/office/drawing/2014/main" id="{734CA241-92C0-4326-9252-6EEDB32F24B1}"/>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5" name="1 Imagen" descr="logo odac.jpg">
          <a:extLst>
            <a:ext uri="{FF2B5EF4-FFF2-40B4-BE49-F238E27FC236}">
              <a16:creationId xmlns:a16="http://schemas.microsoft.com/office/drawing/2014/main" id="{E7E1ECF8-9A5A-4DF0-A2EC-FDE74C606A26}"/>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6" name="1 Imagen" descr="logo odac.jpg">
          <a:extLst>
            <a:ext uri="{FF2B5EF4-FFF2-40B4-BE49-F238E27FC236}">
              <a16:creationId xmlns:a16="http://schemas.microsoft.com/office/drawing/2014/main" id="{9CB0909A-7629-475F-ABD8-300E70C321D5}"/>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0</xdr:rowOff>
    </xdr:from>
    <xdr:ext cx="1695450" cy="1419225"/>
    <xdr:pic>
      <xdr:nvPicPr>
        <xdr:cNvPr id="7" name="1 Imagen" descr="logo odac.jpg">
          <a:extLst>
            <a:ext uri="{FF2B5EF4-FFF2-40B4-BE49-F238E27FC236}">
              <a16:creationId xmlns:a16="http://schemas.microsoft.com/office/drawing/2014/main" id="{6010D072-2440-4E9D-A619-C90A9B188C1E}"/>
            </a:ext>
          </a:extLst>
        </xdr:cNvPr>
        <xdr:cNvPicPr>
          <a:picLocks noChangeAspect="1"/>
        </xdr:cNvPicPr>
      </xdr:nvPicPr>
      <xdr:blipFill>
        <a:blip xmlns:r="http://schemas.openxmlformats.org/officeDocument/2006/relationships" r:embed="rId1" cstate="print"/>
        <a:stretch>
          <a:fillRect/>
        </a:stretch>
      </xdr:blipFill>
      <xdr:spPr>
        <a:xfrm>
          <a:off x="0" y="0"/>
          <a:ext cx="1695450" cy="1419225"/>
        </a:xfrm>
        <a:prstGeom prst="rect">
          <a:avLst/>
        </a:prstGeom>
        <a:ln>
          <a:noFill/>
        </a:ln>
        <a:effectLst>
          <a:softEdge rad="112500"/>
        </a:effec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xdr:rowOff>
    </xdr:from>
    <xdr:ext cx="1695450" cy="1419225"/>
    <xdr:pic>
      <xdr:nvPicPr>
        <xdr:cNvPr id="2" name="1 Imagen" descr="logo odac.jpg">
          <a:extLst>
            <a:ext uri="{FF2B5EF4-FFF2-40B4-BE49-F238E27FC236}">
              <a16:creationId xmlns:a16="http://schemas.microsoft.com/office/drawing/2014/main" id="{D6B336B7-7AEC-4820-8329-94BE51D1F8B6}"/>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3" name="1 Imagen" descr="logo odac.jpg">
          <a:extLst>
            <a:ext uri="{FF2B5EF4-FFF2-40B4-BE49-F238E27FC236}">
              <a16:creationId xmlns:a16="http://schemas.microsoft.com/office/drawing/2014/main" id="{4AAC3FC5-C844-4A16-BF39-DAFE1FE8D342}"/>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4" name="1 Imagen" descr="logo odac.jpg">
          <a:extLst>
            <a:ext uri="{FF2B5EF4-FFF2-40B4-BE49-F238E27FC236}">
              <a16:creationId xmlns:a16="http://schemas.microsoft.com/office/drawing/2014/main" id="{E0AFC942-1200-4915-90DE-ED8758129B1A}"/>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5" name="1 Imagen" descr="logo odac.jpg">
          <a:extLst>
            <a:ext uri="{FF2B5EF4-FFF2-40B4-BE49-F238E27FC236}">
              <a16:creationId xmlns:a16="http://schemas.microsoft.com/office/drawing/2014/main" id="{BDDF042D-80BE-4529-ABDB-E770F6852681}"/>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6" name="1 Imagen" descr="logo odac.jpg">
          <a:extLst>
            <a:ext uri="{FF2B5EF4-FFF2-40B4-BE49-F238E27FC236}">
              <a16:creationId xmlns:a16="http://schemas.microsoft.com/office/drawing/2014/main" id="{6FE7A46A-4C59-4528-A0E4-D2D7E6D52112}"/>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0</xdr:rowOff>
    </xdr:from>
    <xdr:ext cx="1695450" cy="1419225"/>
    <xdr:pic>
      <xdr:nvPicPr>
        <xdr:cNvPr id="7" name="1 Imagen" descr="logo odac.jpg">
          <a:extLst>
            <a:ext uri="{FF2B5EF4-FFF2-40B4-BE49-F238E27FC236}">
              <a16:creationId xmlns:a16="http://schemas.microsoft.com/office/drawing/2014/main" id="{26657EBC-D646-44C5-A3F6-13DD2EBA3E1E}"/>
            </a:ext>
          </a:extLst>
        </xdr:cNvPr>
        <xdr:cNvPicPr>
          <a:picLocks noChangeAspect="1"/>
        </xdr:cNvPicPr>
      </xdr:nvPicPr>
      <xdr:blipFill>
        <a:blip xmlns:r="http://schemas.openxmlformats.org/officeDocument/2006/relationships" r:embed="rId1" cstate="print"/>
        <a:stretch>
          <a:fillRect/>
        </a:stretch>
      </xdr:blipFill>
      <xdr:spPr>
        <a:xfrm>
          <a:off x="0" y="0"/>
          <a:ext cx="1695450" cy="1419225"/>
        </a:xfrm>
        <a:prstGeom prst="rect">
          <a:avLst/>
        </a:prstGeom>
        <a:ln>
          <a:noFill/>
        </a:ln>
        <a:effectLst>
          <a:softEdge rad="112500"/>
        </a:effec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11906</xdr:rowOff>
    </xdr:from>
    <xdr:ext cx="1762125" cy="1583530"/>
    <xdr:pic>
      <xdr:nvPicPr>
        <xdr:cNvPr id="2" name="1 Imagen" descr="logo odac.jpg">
          <a:extLst>
            <a:ext uri="{FF2B5EF4-FFF2-40B4-BE49-F238E27FC236}">
              <a16:creationId xmlns:a16="http://schemas.microsoft.com/office/drawing/2014/main" id="{685C13FD-B746-4D4D-9781-9E8E124B8A80}"/>
            </a:ext>
          </a:extLst>
        </xdr:cNvPr>
        <xdr:cNvPicPr>
          <a:picLocks noChangeAspect="1"/>
        </xdr:cNvPicPr>
      </xdr:nvPicPr>
      <xdr:blipFill>
        <a:blip xmlns:r="http://schemas.openxmlformats.org/officeDocument/2006/relationships" r:embed="rId1" cstate="print"/>
        <a:stretch>
          <a:fillRect/>
        </a:stretch>
      </xdr:blipFill>
      <xdr:spPr>
        <a:xfrm>
          <a:off x="0" y="11906"/>
          <a:ext cx="1762125" cy="1583530"/>
        </a:xfrm>
        <a:prstGeom prst="rect">
          <a:avLst/>
        </a:prstGeom>
        <a:ln>
          <a:noFill/>
        </a:ln>
        <a:effectLst>
          <a:softEdge rad="112500"/>
        </a:effec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xdr:colOff>
      <xdr:row>0</xdr:row>
      <xdr:rowOff>0</xdr:rowOff>
    </xdr:from>
    <xdr:ext cx="1762125" cy="1583530"/>
    <xdr:pic>
      <xdr:nvPicPr>
        <xdr:cNvPr id="2" name="1 Imagen" descr="logo odac.jpg">
          <a:extLst>
            <a:ext uri="{FF2B5EF4-FFF2-40B4-BE49-F238E27FC236}">
              <a16:creationId xmlns:a16="http://schemas.microsoft.com/office/drawing/2014/main" id="{BB1D4E7B-CBFD-4FC2-BECC-09DEB1B647EB}"/>
            </a:ext>
          </a:extLst>
        </xdr:cNvPr>
        <xdr:cNvPicPr>
          <a:picLocks noChangeAspect="1"/>
        </xdr:cNvPicPr>
      </xdr:nvPicPr>
      <xdr:blipFill>
        <a:blip xmlns:r="http://schemas.openxmlformats.org/officeDocument/2006/relationships" r:embed="rId1" cstate="print"/>
        <a:stretch>
          <a:fillRect/>
        </a:stretch>
      </xdr:blipFill>
      <xdr:spPr>
        <a:xfrm>
          <a:off x="66674" y="0"/>
          <a:ext cx="1762125" cy="1583530"/>
        </a:xfrm>
        <a:prstGeom prst="rect">
          <a:avLst/>
        </a:prstGeom>
        <a:ln>
          <a:noFill/>
        </a:ln>
        <a:effectLst>
          <a:softEdge rad="112500"/>
        </a:effec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0</xdr:row>
      <xdr:rowOff>0</xdr:rowOff>
    </xdr:from>
    <xdr:ext cx="1581150" cy="1095375"/>
    <xdr:pic>
      <xdr:nvPicPr>
        <xdr:cNvPr id="2" name="image1.png">
          <a:extLst>
            <a:ext uri="{FF2B5EF4-FFF2-40B4-BE49-F238E27FC236}">
              <a16:creationId xmlns:a16="http://schemas.microsoft.com/office/drawing/2014/main" id="{7B5A80C1-28B8-40C3-9F5B-B17FDBE06003}"/>
            </a:ext>
          </a:extLst>
        </xdr:cNvPr>
        <xdr:cNvPicPr preferRelativeResize="0"/>
      </xdr:nvPicPr>
      <xdr:blipFill>
        <a:blip xmlns:r="http://schemas.openxmlformats.org/officeDocument/2006/relationships" r:embed="rId1" cstate="print"/>
        <a:stretch>
          <a:fillRect/>
        </a:stretch>
      </xdr:blipFill>
      <xdr:spPr>
        <a:xfrm>
          <a:off x="76200" y="0"/>
          <a:ext cx="1581150" cy="10953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Balanzas%202022/12%20Balance%20de%20Comprobaci&#243;n%20diciembre%202022.xlsx" TargetMode="External"/><Relationship Id="rId2" Type="http://schemas.openxmlformats.org/officeDocument/2006/relationships/externalLinkPath" Target="file:///C:\Users\CABREU\Desktop\ODAC\ODAC\ODAC\Mis%20Doc\CARPETAS\Estados%20Financieros\Balanzas%202022\12%20Balance%20de%20Comprobaci&#243;n%20diciembre%202022.xlsx" TargetMode="External"/><Relationship Id="rId1" Type="http://schemas.openxmlformats.org/officeDocument/2006/relationships/externalLinkPath" Target="/Users/CABREU/Desktop/ODAC/ODAC/ODAC/Mis%20Doc/CARPETAS/Estados%20Financieros/Balanzas%202022/12%20Balance%20de%20Comprobaci&#243;n%20dicie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gresos"/>
      <sheetName val="ESTADO"/>
      <sheetName val="Diciembre"/>
      <sheetName val="Balanza Con"/>
      <sheetName val="ED"/>
      <sheetName val="DP 12-2022 (2)"/>
      <sheetName val="Pagos Diciembre"/>
      <sheetName val="Lib cons cxp"/>
      <sheetName val="Ejecucion12"/>
      <sheetName val="Pagos Diciembre S Norma"/>
      <sheetName val="Ejecución"/>
      <sheetName val="Pago Nov."/>
      <sheetName val="Pago Nov. (2)"/>
      <sheetName val="CxC"/>
      <sheetName val="Inventario "/>
      <sheetName val="CXP 12 S Norma"/>
      <sheetName val="CXP 12"/>
      <sheetName val="CXP 11"/>
      <sheetName val="Anticipo Cliente"/>
      <sheetName val="Gastos pag. x ant."/>
      <sheetName val="SEGURO"/>
      <sheetName val="Amortización correos"/>
      <sheetName val="Fianzas y Depositos"/>
      <sheetName val="CxP en Nov"/>
      <sheetName val="CxP  Dic "/>
      <sheetName val="Dep. 2022"/>
      <sheetName val="C Chica Admin 05122022"/>
      <sheetName val="C Chica DE "/>
      <sheetName val="DP 12-2022"/>
    </sheetNames>
    <sheetDataSet>
      <sheetData sheetId="0"/>
      <sheetData sheetId="1"/>
      <sheetData sheetId="2"/>
      <sheetData sheetId="3">
        <row r="53">
          <cell r="G5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F34D04-40E1-4EC7-B22E-760AF6E0BAE5}" name="Tabla132" displayName="Tabla132" ref="B7:N21" totalsRowCount="1" headerRowDxfId="18" dataDxfId="16" totalsRowDxfId="15" headerRowBorderDxfId="17">
  <autoFilter ref="B7:N20" xr:uid="{9CF34D04-40E1-4EC7-B22E-760AF6E0BAE5}"/>
  <tableColumns count="13">
    <tableColumn id="1" xr3:uid="{CD753EC0-4A42-4908-8B1C-5D4062D8B498}" name="FECHA" totalsRowDxfId="14"/>
    <tableColumn id="2" xr3:uid="{E7EAB04E-7001-4551-BD92-7786AE4EA5B1}" name="SUELDOS Y SEGURIDAD" totalsRowDxfId="13"/>
    <tableColumn id="3" xr3:uid="{7B7DBD0B-D936-4106-8642-AAB76874C7AE}" name="GASTOS CORRIENTES" totalsRowDxfId="12"/>
    <tableColumn id="13" xr3:uid="{B696FAE0-82C6-45F6-81A8-1D4C9F3FCB08}" name="TOTAL TRANSFERENCIA" dataDxfId="11" totalsRowDxfId="10">
      <calculatedColumnFormula>SUM(Tabla132[[#This Row],[SUELDOS Y SEGURIDAD]:[GASTOS CORRIENTES]])</calculatedColumnFormula>
    </tableColumn>
    <tableColumn id="11" xr3:uid="{967CBE59-DBB9-4CAB-8BD2-6F395472CA9E}" name="Otros y SUELDOS 13 Y 14" totalsRowDxfId="9"/>
    <tableColumn id="4" xr3:uid="{9F996EC0-CADE-4B6C-8C85-5FEE8E8A8DD2}" name="INGRESOS MENSUALES" totalsRowDxfId="8">
      <calculatedColumnFormula>Tabla132[[#This Row],[SUELDOS Y SEGURIDAD]]+Tabla132[[#This Row],[GASTOS CORRIENTES]]+Tabla132[[#This Row],[Otros y SUELDOS 13 Y 14]]</calculatedColumnFormula>
    </tableColumn>
    <tableColumn id="8" xr3:uid="{01454FA9-C1C6-4983-8D01-BA64078A185E}" name="INGRESOS FACTURADOS POR SERVICIOS" totalsRowDxfId="7"/>
    <tableColumn id="9" xr3:uid="{05622270-6D11-4AC1-9955-F4925689110F}" name="COBROS POR RECIBO" totalsRowFunction="custom" totalsRowDxfId="6">
      <totalsRowFormula>+H20-I20</totalsRowFormula>
    </tableColumn>
    <tableColumn id="5" xr3:uid="{EF19F941-4114-486C-BDDC-E7234BFD31EB}" name="TOTAL " totalsRowDxfId="5"/>
    <tableColumn id="10" xr3:uid="{AA0DC38D-62F2-4BF9-AC47-54CC0E43F683}" name="SUB CTA, CUT" totalsRowDxfId="4">
      <calculatedColumnFormula>K7+Tabla132[[#This Row],[INGRESOS MENSUALES]]+#REF!+Tabla132[[#This Row],[INGRESOS FACTURADOS POR SERVICIOS]]+Tabla132[[#This Row],[COBROS POR RECIBO]]</calculatedColumnFormula>
    </tableColumn>
    <tableColumn id="7" xr3:uid="{3E11B526-E758-4CDA-9812-49B8B3BD9642}" name="OTROS INGRESOS" totalsRowDxfId="3"/>
    <tableColumn id="12" xr3:uid="{6F31EF87-23E5-46B0-9254-667BED0F1473}" name="REEMBOLSO DE LA  TSS" totalsRowDxfId="2"/>
    <tableColumn id="6" xr3:uid="{08B16539-BF81-49F8-A643-5126E4B64482}" name="Columna1" dataDxfId="1" totalsRowDxfId="0">
      <calculatedColumnFormula>+E7+M7</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O81"/>
  <sheetViews>
    <sheetView view="pageBreakPreview" zoomScale="118" zoomScaleNormal="110" zoomScaleSheetLayoutView="118" workbookViewId="0">
      <selection activeCell="C24" sqref="C24"/>
    </sheetView>
  </sheetViews>
  <sheetFormatPr baseColWidth="10" defaultColWidth="11.42578125" defaultRowHeight="15" x14ac:dyDescent="0.25"/>
  <cols>
    <col min="1" max="1" width="0.5703125" customWidth="1"/>
    <col min="2" max="2" width="9.85546875" customWidth="1"/>
    <col min="3" max="3" width="14.85546875" customWidth="1"/>
    <col min="4" max="5" width="13" customWidth="1"/>
    <col min="6" max="6" width="12" customWidth="1"/>
    <col min="7" max="7" width="13.140625" customWidth="1"/>
    <col min="8" max="8" width="11.85546875" customWidth="1"/>
    <col min="9" max="9" width="12.140625" customWidth="1"/>
    <col min="10" max="10" width="10.7109375" customWidth="1"/>
    <col min="11" max="11" width="14" customWidth="1"/>
    <col min="12" max="12" width="12.7109375" customWidth="1"/>
    <col min="13" max="13" width="13" bestFit="1" customWidth="1"/>
    <col min="14" max="14" width="15" bestFit="1" customWidth="1"/>
  </cols>
  <sheetData>
    <row r="1" spans="1:15" ht="19.5" customHeight="1" x14ac:dyDescent="0.25"/>
    <row r="2" spans="1:15" ht="22.5" x14ac:dyDescent="0.3">
      <c r="B2" s="824" t="s">
        <v>12</v>
      </c>
      <c r="C2" s="824"/>
      <c r="D2" s="824"/>
      <c r="E2" s="824"/>
      <c r="F2" s="824"/>
      <c r="G2" s="824"/>
      <c r="H2" s="824"/>
      <c r="I2" s="824"/>
      <c r="J2" s="824"/>
      <c r="K2" s="824"/>
      <c r="L2" s="824"/>
      <c r="M2" s="824"/>
    </row>
    <row r="4" spans="1:15" ht="21" x14ac:dyDescent="0.25">
      <c r="B4" s="820" t="s">
        <v>724</v>
      </c>
      <c r="C4" s="821"/>
      <c r="D4" s="821"/>
      <c r="E4" s="821"/>
      <c r="F4" s="821"/>
      <c r="G4" s="821"/>
      <c r="H4" s="821"/>
      <c r="I4" s="821"/>
      <c r="J4" s="821"/>
      <c r="K4" s="821"/>
      <c r="L4" s="821"/>
      <c r="M4" s="821"/>
    </row>
    <row r="5" spans="1:15" ht="16.5" thickBot="1" x14ac:dyDescent="0.3">
      <c r="B5" s="822" t="s">
        <v>83</v>
      </c>
      <c r="C5" s="823"/>
      <c r="D5" s="823"/>
      <c r="E5" s="823"/>
      <c r="F5" s="823"/>
      <c r="G5" s="823"/>
      <c r="H5" s="823"/>
      <c r="I5" s="823"/>
      <c r="J5" s="823"/>
      <c r="K5" s="823"/>
      <c r="L5" s="823"/>
      <c r="M5" s="823"/>
    </row>
    <row r="6" spans="1:15" ht="30.75" customHeight="1" thickBot="1" x14ac:dyDescent="0.3">
      <c r="A6" s="59"/>
      <c r="B6" s="825" t="s">
        <v>311</v>
      </c>
      <c r="C6" s="830"/>
      <c r="D6" s="830"/>
      <c r="E6" s="830"/>
      <c r="F6" s="826"/>
      <c r="G6" s="211" t="s">
        <v>312</v>
      </c>
      <c r="H6" s="831" t="s">
        <v>628</v>
      </c>
      <c r="I6" s="832"/>
      <c r="J6" s="211" t="s">
        <v>312</v>
      </c>
      <c r="K6" s="172" t="s">
        <v>313</v>
      </c>
      <c r="L6" s="825" t="s">
        <v>555</v>
      </c>
      <c r="M6" s="826"/>
    </row>
    <row r="7" spans="1:15" ht="39.75" customHeight="1" thickBot="1" x14ac:dyDescent="0.3">
      <c r="A7" s="60"/>
      <c r="B7" s="86" t="s">
        <v>127</v>
      </c>
      <c r="C7" s="87" t="s">
        <v>314</v>
      </c>
      <c r="D7" s="87" t="s">
        <v>315</v>
      </c>
      <c r="E7" s="87" t="s">
        <v>723</v>
      </c>
      <c r="F7" s="87" t="s">
        <v>672</v>
      </c>
      <c r="G7" s="87" t="s">
        <v>316</v>
      </c>
      <c r="H7" s="87" t="s">
        <v>627</v>
      </c>
      <c r="I7" s="87" t="s">
        <v>629</v>
      </c>
      <c r="J7" s="179" t="s">
        <v>26</v>
      </c>
      <c r="K7" s="88" t="s">
        <v>317</v>
      </c>
      <c r="L7" s="180" t="s">
        <v>555</v>
      </c>
      <c r="M7" s="197" t="s">
        <v>556</v>
      </c>
      <c r="N7" s="197" t="s">
        <v>673</v>
      </c>
    </row>
    <row r="8" spans="1:15" ht="18.75" customHeight="1" x14ac:dyDescent="0.25">
      <c r="B8" s="217" t="s">
        <v>35</v>
      </c>
      <c r="C8" s="61">
        <v>4339889.01</v>
      </c>
      <c r="D8" s="181">
        <v>3583187.91</v>
      </c>
      <c r="E8" s="182">
        <f>SUM(Tabla132[[#This Row],[SUELDOS Y SEGURIDAD]:[GASTOS CORRIENTES]])</f>
        <v>7923076.9199999999</v>
      </c>
      <c r="F8" s="61"/>
      <c r="G8" s="85"/>
      <c r="H8" s="61">
        <f>30000+43494</f>
        <v>73494</v>
      </c>
      <c r="I8" s="590">
        <v>43494</v>
      </c>
      <c r="J8" s="181"/>
      <c r="K8" s="215">
        <f>SUM(Tabla132[[#This Row],[INGRESOS MENSUALES]:[COBROS POR RECIBO]])</f>
        <v>116988</v>
      </c>
      <c r="L8" s="609"/>
      <c r="M8" s="85">
        <v>69000</v>
      </c>
      <c r="N8" s="447"/>
    </row>
    <row r="9" spans="1:15" ht="18.75" customHeight="1" x14ac:dyDescent="0.25">
      <c r="B9" s="218" t="s">
        <v>36</v>
      </c>
      <c r="C9" s="61">
        <v>4341708.7</v>
      </c>
      <c r="D9" s="61">
        <v>3581368.22</v>
      </c>
      <c r="E9" s="182">
        <f>SUM(Tabla132[[#This Row],[SUELDOS Y SEGURIDAD]:[GASTOS CORRIENTES]])</f>
        <v>7923076.9199999999</v>
      </c>
      <c r="F9" s="61"/>
      <c r="G9" s="85"/>
      <c r="H9" s="61">
        <v>291240</v>
      </c>
      <c r="I9" s="61">
        <v>310800</v>
      </c>
      <c r="J9" s="85"/>
      <c r="K9" s="215">
        <f>+K8+Tabla132[[#This Row],[INGRESOS MENSUALES]]+Tabla132[[#This Row],[INGRESOS FACTURADOS POR SERVICIOS]]+Tabla132[[#This Row],[COBROS POR RECIBO]]</f>
        <v>719028</v>
      </c>
      <c r="L9" s="610">
        <v>2564.1</v>
      </c>
      <c r="M9" s="85">
        <v>69000</v>
      </c>
      <c r="N9" s="447"/>
    </row>
    <row r="10" spans="1:15" ht="18.75" customHeight="1" x14ac:dyDescent="0.25">
      <c r="B10" s="218" t="s">
        <v>37</v>
      </c>
      <c r="C10" s="61">
        <v>4267079.1399999997</v>
      </c>
      <c r="D10" s="61">
        <v>3655997.78</v>
      </c>
      <c r="E10" s="182">
        <f>SUM(Tabla132[[#This Row],[SUELDOS Y SEGURIDAD]:[GASTOS CORRIENTES]])</f>
        <v>7923076.9199999999</v>
      </c>
      <c r="F10" s="61"/>
      <c r="G10" s="85"/>
      <c r="H10" s="61">
        <v>191400</v>
      </c>
      <c r="I10" s="62">
        <f>191400+30000+291240</f>
        <v>512640</v>
      </c>
      <c r="J10" s="85"/>
      <c r="K10" s="215">
        <f>+K9+Tabla132[[#This Row],[INGRESOS MENSUALES]]+Tabla132[[#This Row],[INGRESOS FACTURADOS POR SERVICIOS]]+Tabla132[[#This Row],[COBROS POR RECIBO]]</f>
        <v>1423068</v>
      </c>
      <c r="L10" s="611"/>
      <c r="M10" s="184"/>
      <c r="N10" s="447"/>
    </row>
    <row r="11" spans="1:15" ht="18.75" customHeight="1" x14ac:dyDescent="0.25">
      <c r="B11" s="89" t="s">
        <v>38</v>
      </c>
      <c r="C11" s="61">
        <v>4291690.74</v>
      </c>
      <c r="D11" s="62">
        <v>3631386.18</v>
      </c>
      <c r="E11" s="182">
        <f>SUM(Tabla132[[#This Row],[SUELDOS Y SEGURIDAD]:[GASTOS CORRIENTES]])</f>
        <v>7923076.9199999999</v>
      </c>
      <c r="F11" s="61"/>
      <c r="G11" s="85"/>
      <c r="H11" s="61"/>
      <c r="I11" s="61"/>
      <c r="J11" s="183"/>
      <c r="K11" s="215">
        <f>+K10+Tabla132[[#This Row],[INGRESOS MENSUALES]]+Tabla132[[#This Row],[INGRESOS FACTURADOS POR SERVICIOS]]+Tabla132[[#This Row],[COBROS POR RECIBO]]</f>
        <v>1423068</v>
      </c>
      <c r="L11" s="611"/>
      <c r="M11" s="607"/>
      <c r="N11" s="447">
        <f t="shared" ref="N11:N20" si="0">+E10+M10</f>
        <v>7923076.9199999999</v>
      </c>
      <c r="O11">
        <f>+Tabla132[[#This Row],[INGRESOS MENSUALES]]*6</f>
        <v>0</v>
      </c>
    </row>
    <row r="12" spans="1:15" ht="18.75" customHeight="1" x14ac:dyDescent="0.25">
      <c r="B12" s="89" t="s">
        <v>39</v>
      </c>
      <c r="C12" s="61">
        <v>4291690.74</v>
      </c>
      <c r="D12" s="61">
        <v>3631386.18</v>
      </c>
      <c r="E12" s="182">
        <f>SUM(Tabla132[[#This Row],[SUELDOS Y SEGURIDAD]:[GASTOS CORRIENTES]])</f>
        <v>7923076.9199999999</v>
      </c>
      <c r="F12" s="61"/>
      <c r="G12" s="85"/>
      <c r="H12" s="355"/>
      <c r="I12" s="355"/>
      <c r="J12" s="85"/>
      <c r="K12" s="215">
        <f>+K11+Tabla132[[#This Row],[INGRESOS MENSUALES]]+Tabla132[[#This Row],[INGRESOS FACTURADOS POR SERVICIOS]]+Tabla132[[#This Row],[COBROS POR RECIBO]]</f>
        <v>1423068</v>
      </c>
      <c r="L12" s="612"/>
      <c r="M12" s="184"/>
      <c r="N12" s="447">
        <f t="shared" si="0"/>
        <v>7923076.9199999999</v>
      </c>
    </row>
    <row r="13" spans="1:15" ht="18.75" customHeight="1" x14ac:dyDescent="0.25">
      <c r="B13" s="89" t="s">
        <v>40</v>
      </c>
      <c r="C13" s="61"/>
      <c r="D13" s="61"/>
      <c r="E13" s="85"/>
      <c r="F13" s="61"/>
      <c r="G13" s="85"/>
      <c r="H13" s="61"/>
      <c r="I13" s="62"/>
      <c r="J13" s="85"/>
      <c r="K13" s="215">
        <f>+K12+Tabla132[[#This Row],[INGRESOS MENSUALES]]+Tabla132[[#This Row],[INGRESOS FACTURADOS POR SERVICIOS]]+Tabla132[[#This Row],[COBROS POR RECIBO]]</f>
        <v>1423068</v>
      </c>
      <c r="L13" s="613"/>
      <c r="M13" s="607"/>
      <c r="N13" s="447">
        <f t="shared" si="0"/>
        <v>7923076.9199999999</v>
      </c>
    </row>
    <row r="14" spans="1:15" ht="18.75" customHeight="1" x14ac:dyDescent="0.25">
      <c r="B14" s="89" t="s">
        <v>41</v>
      </c>
      <c r="C14" s="61"/>
      <c r="D14" s="61"/>
      <c r="E14" s="184"/>
      <c r="F14" s="61"/>
      <c r="G14" s="85"/>
      <c r="H14" s="62"/>
      <c r="I14" s="355"/>
      <c r="J14" s="85"/>
      <c r="K14" s="215">
        <f>+K13+Tabla132[[#This Row],[INGRESOS MENSUALES]]+Tabla132[[#This Row],[INGRESOS FACTURADOS POR SERVICIOS]]+Tabla132[[#This Row],[COBROS POR RECIBO]]</f>
        <v>1423068</v>
      </c>
      <c r="L14" s="614"/>
      <c r="N14" s="448">
        <f t="shared" si="0"/>
        <v>0</v>
      </c>
    </row>
    <row r="15" spans="1:15" ht="18.75" customHeight="1" x14ac:dyDescent="0.25">
      <c r="B15" s="89" t="s">
        <v>42</v>
      </c>
      <c r="C15" s="61"/>
      <c r="D15" s="61"/>
      <c r="E15" s="85"/>
      <c r="F15" s="61"/>
      <c r="G15" s="85"/>
      <c r="H15" s="62"/>
      <c r="I15" s="355"/>
      <c r="J15" s="85"/>
      <c r="K15" s="215">
        <f>+K14+Tabla132[[#This Row],[INGRESOS MENSUALES]]+Tabla132[[#This Row],[INGRESOS FACTURADOS POR SERVICIOS]]+Tabla132[[#This Row],[COBROS POR RECIBO]]</f>
        <v>1423068</v>
      </c>
      <c r="L15" s="613"/>
      <c r="M15" s="607"/>
      <c r="N15" s="448">
        <f t="shared" si="0"/>
        <v>0</v>
      </c>
    </row>
    <row r="16" spans="1:15" ht="18.75" customHeight="1" x14ac:dyDescent="0.25">
      <c r="B16" s="89" t="s">
        <v>43</v>
      </c>
      <c r="C16" s="61"/>
      <c r="D16" s="61"/>
      <c r="E16" s="85"/>
      <c r="F16" s="61"/>
      <c r="G16" s="85"/>
      <c r="H16" s="355"/>
      <c r="I16" s="561"/>
      <c r="J16" s="85"/>
      <c r="K16" s="215">
        <f>+K15+Tabla132[[#This Row],[INGRESOS MENSUALES]]+Tabla132[[#This Row],[INGRESOS FACTURADOS POR SERVICIOS]]+Tabla132[[#This Row],[COBROS POR RECIBO]]</f>
        <v>1423068</v>
      </c>
      <c r="L16" s="613"/>
      <c r="M16" s="607"/>
      <c r="N16" s="447">
        <f t="shared" si="0"/>
        <v>0</v>
      </c>
    </row>
    <row r="17" spans="2:14" ht="18.75" customHeight="1" x14ac:dyDescent="0.25">
      <c r="B17" s="89" t="s">
        <v>44</v>
      </c>
      <c r="C17" s="61"/>
      <c r="D17" s="61"/>
      <c r="E17" s="85"/>
      <c r="F17" s="61"/>
      <c r="G17" s="85"/>
      <c r="H17" s="62"/>
      <c r="I17" s="61"/>
      <c r="J17" s="85"/>
      <c r="K17" s="215">
        <f>K16+Tabla132[[#This Row],[INGRESOS MENSUALES]]+Tabla132[[#This Row],[INGRESOS FACTURADOS POR SERVICIOS]]</f>
        <v>1423068</v>
      </c>
      <c r="L17" s="613"/>
      <c r="M17" s="607"/>
      <c r="N17" s="448">
        <f t="shared" si="0"/>
        <v>0</v>
      </c>
    </row>
    <row r="18" spans="2:14" ht="18.75" customHeight="1" x14ac:dyDescent="0.25">
      <c r="B18" s="89" t="s">
        <v>45</v>
      </c>
      <c r="C18" s="61"/>
      <c r="D18" s="61"/>
      <c r="E18" s="85"/>
      <c r="F18" s="61"/>
      <c r="G18" s="85"/>
      <c r="H18" s="61"/>
      <c r="I18" s="62"/>
      <c r="J18" s="85"/>
      <c r="K18" s="215">
        <f>K17+Tabla132[[#This Row],[INGRESOS MENSUALES]]+Tabla132[[#This Row],[INGRESOS FACTURADOS POR SERVICIOS]]</f>
        <v>1423068</v>
      </c>
      <c r="L18" s="613"/>
      <c r="M18" s="607"/>
      <c r="N18" s="447">
        <f t="shared" si="0"/>
        <v>0</v>
      </c>
    </row>
    <row r="19" spans="2:14" ht="18.75" customHeight="1" thickBot="1" x14ac:dyDescent="0.3">
      <c r="B19" s="90" t="s">
        <v>46</v>
      </c>
      <c r="C19" s="63"/>
      <c r="D19" s="63"/>
      <c r="E19" s="152"/>
      <c r="F19" s="63"/>
      <c r="G19" s="63"/>
      <c r="H19" s="63"/>
      <c r="I19" s="63"/>
      <c r="J19" s="152"/>
      <c r="K19" s="216">
        <f>K18+Tabla132[[#This Row],[INGRESOS MENSUALES]]+Tabla132[[#This Row],[INGRESOS FACTURADOS POR SERVICIOS]]</f>
        <v>1423068</v>
      </c>
      <c r="L19" s="615"/>
      <c r="M19" s="608"/>
      <c r="N19" s="447">
        <f t="shared" si="0"/>
        <v>0</v>
      </c>
    </row>
    <row r="20" spans="2:14" ht="15.75" thickBot="1" x14ac:dyDescent="0.3">
      <c r="B20" s="66"/>
      <c r="C20" s="64">
        <f>SUBTOTAL(109,C8:C19)</f>
        <v>21532058.330000006</v>
      </c>
      <c r="D20" s="64">
        <f t="shared" ref="D20" si="1">SUBTOTAL(109,D8:D19)</f>
        <v>18083326.27</v>
      </c>
      <c r="E20" s="64">
        <f>SUM(Tabla132[[#This Row],[SUELDOS Y SEGURIDAD]:[GASTOS CORRIENTES]])</f>
        <v>39615384.600000009</v>
      </c>
      <c r="F20" s="64">
        <f>SUBTOTAL(109,F8:F19)</f>
        <v>0</v>
      </c>
      <c r="G20" s="64">
        <f>SUBTOTAL(109,G8:G19)</f>
        <v>0</v>
      </c>
      <c r="H20" s="64">
        <f>SUBTOTAL(109,H8:H19)</f>
        <v>556134</v>
      </c>
      <c r="I20" s="64">
        <f>SUBTOTAL(109,I8:I19)</f>
        <v>866934</v>
      </c>
      <c r="J20" s="64"/>
      <c r="K20" s="64"/>
      <c r="L20" s="64">
        <f>SUBTOTAL(109,L8:L19)</f>
        <v>2564.1</v>
      </c>
      <c r="M20" s="64">
        <f>SUBTOTAL(109,M8:M19)</f>
        <v>138000</v>
      </c>
      <c r="N20" s="447">
        <f t="shared" si="0"/>
        <v>0</v>
      </c>
    </row>
    <row r="21" spans="2:14" s="245" customFormat="1" ht="27.75" customHeight="1" thickTop="1" x14ac:dyDescent="0.25">
      <c r="B21" s="241"/>
      <c r="C21" s="242"/>
      <c r="D21" s="242"/>
      <c r="E21" s="242"/>
      <c r="F21" s="242"/>
      <c r="G21" s="243"/>
      <c r="H21" s="242"/>
      <c r="I21" s="243">
        <f>+H20-I20</f>
        <v>-310800</v>
      </c>
      <c r="J21" s="242"/>
      <c r="K21" s="242"/>
      <c r="L21" s="242"/>
      <c r="M21" s="244"/>
      <c r="N21" s="244"/>
    </row>
    <row r="22" spans="2:14" ht="27.75" customHeight="1" thickBot="1" x14ac:dyDescent="0.3">
      <c r="C22" s="206">
        <f>+C20+D20</f>
        <v>39615384.600000009</v>
      </c>
      <c r="D22" s="206">
        <v>100000000</v>
      </c>
      <c r="E22" s="206"/>
      <c r="F22" s="206">
        <f>+E20+F20</f>
        <v>39615384.600000009</v>
      </c>
      <c r="G22" s="358"/>
      <c r="H22" s="35">
        <v>3915935.81</v>
      </c>
      <c r="I22" s="206"/>
      <c r="J22" s="258"/>
      <c r="K22" s="258"/>
      <c r="L22" s="260" t="s">
        <v>626</v>
      </c>
      <c r="M22" s="259"/>
    </row>
    <row r="23" spans="2:14" ht="17.25" customHeight="1" thickTop="1" thickBot="1" x14ac:dyDescent="0.3">
      <c r="B23" s="6"/>
      <c r="C23" s="206">
        <f>+F18</f>
        <v>0</v>
      </c>
      <c r="D23" s="148">
        <f>+E20+F18</f>
        <v>39615384.600000009</v>
      </c>
      <c r="E23" s="148"/>
      <c r="F23" s="206">
        <v>109000000</v>
      </c>
      <c r="G23" s="208"/>
      <c r="H23" s="207">
        <f>+H20-H22</f>
        <v>-3359801.81</v>
      </c>
      <c r="I23" s="206"/>
      <c r="J23" s="206"/>
      <c r="K23" s="206"/>
      <c r="L23" s="260" t="s">
        <v>625</v>
      </c>
      <c r="M23" s="259">
        <f>+M20-M22</f>
        <v>138000</v>
      </c>
    </row>
    <row r="24" spans="2:14" ht="17.25" customHeight="1" thickTop="1" thickBot="1" x14ac:dyDescent="0.3">
      <c r="B24" s="6"/>
      <c r="C24" s="560">
        <v>958998.66</v>
      </c>
      <c r="D24" s="543">
        <f>+D22-D23</f>
        <v>60384615.399999991</v>
      </c>
      <c r="E24" s="207"/>
      <c r="F24" s="206">
        <f>+F22-F23</f>
        <v>-69384615.399999991</v>
      </c>
      <c r="G24" s="208"/>
      <c r="H24" s="207">
        <v>469800</v>
      </c>
      <c r="I24" s="206"/>
      <c r="J24" s="206"/>
      <c r="K24" s="206"/>
      <c r="L24" s="260"/>
      <c r="M24" s="356"/>
    </row>
    <row r="25" spans="2:14" ht="27" customHeight="1" x14ac:dyDescent="0.25">
      <c r="C25" s="65">
        <f>SUM(C22:C24)</f>
        <v>40574383.260000005</v>
      </c>
      <c r="D25" s="65"/>
      <c r="E25" s="65"/>
      <c r="F25" s="65"/>
      <c r="G25" s="207"/>
      <c r="H25" s="206">
        <f>SUM(H23:H24)</f>
        <v>-2890001.81</v>
      </c>
      <c r="I25" s="65"/>
      <c r="J25" s="829"/>
      <c r="K25" s="829"/>
      <c r="L25" s="65"/>
    </row>
    <row r="26" spans="2:14" x14ac:dyDescent="0.25">
      <c r="B26" s="166"/>
      <c r="C26" s="35"/>
      <c r="D26" s="35"/>
      <c r="E26" s="35"/>
      <c r="F26" s="208"/>
      <c r="G26" s="65"/>
      <c r="H26" s="65"/>
      <c r="I26" s="65"/>
      <c r="J26" s="65"/>
      <c r="K26" s="65"/>
      <c r="L26" s="65"/>
    </row>
    <row r="27" spans="2:14" x14ac:dyDescent="0.25">
      <c r="B27" s="166"/>
      <c r="C27" s="35"/>
      <c r="D27" s="35"/>
      <c r="E27" s="35"/>
      <c r="F27" s="208"/>
      <c r="G27" s="65"/>
      <c r="H27" s="65"/>
      <c r="I27" s="65"/>
      <c r="J27" s="828"/>
      <c r="K27" s="828"/>
      <c r="L27" s="65"/>
    </row>
    <row r="28" spans="2:14" x14ac:dyDescent="0.25">
      <c r="B28" s="166"/>
      <c r="C28" s="35"/>
      <c r="D28" s="35"/>
      <c r="E28" s="35"/>
      <c r="F28" s="208"/>
      <c r="G28" s="65"/>
      <c r="H28" s="65"/>
      <c r="I28" s="65"/>
      <c r="J28" s="65"/>
      <c r="K28" s="65"/>
      <c r="L28" s="65"/>
    </row>
    <row r="29" spans="2:14" x14ac:dyDescent="0.25">
      <c r="C29" s="148"/>
      <c r="D29" s="148"/>
      <c r="E29" s="148"/>
      <c r="F29" s="148"/>
      <c r="G29" s="65"/>
      <c r="H29" s="65"/>
      <c r="I29" s="65"/>
      <c r="J29" s="65"/>
      <c r="K29" s="65"/>
      <c r="L29" s="65"/>
    </row>
    <row r="30" spans="2:14" x14ac:dyDescent="0.25">
      <c r="C30" s="65"/>
      <c r="D30" s="65"/>
      <c r="E30" s="65"/>
      <c r="F30" s="65"/>
      <c r="G30" s="65"/>
      <c r="H30" s="65"/>
      <c r="I30" s="65"/>
      <c r="J30" s="65"/>
      <c r="K30" s="65"/>
      <c r="L30" s="65"/>
    </row>
    <row r="31" spans="2:14" x14ac:dyDescent="0.25">
      <c r="B31" s="827"/>
      <c r="C31" s="827"/>
      <c r="D31" s="65"/>
      <c r="E31" s="65"/>
      <c r="F31" s="65"/>
      <c r="G31" s="65"/>
      <c r="H31" s="65"/>
      <c r="I31" s="65"/>
      <c r="J31" s="65"/>
      <c r="K31" s="65"/>
      <c r="L31" s="65"/>
    </row>
    <row r="32" spans="2:14" x14ac:dyDescent="0.25">
      <c r="B32" s="209"/>
      <c r="C32" s="209"/>
      <c r="D32" s="65"/>
      <c r="E32" s="65"/>
      <c r="F32" s="65"/>
      <c r="G32" s="65"/>
      <c r="H32" s="65"/>
      <c r="I32" s="65"/>
      <c r="J32" s="65"/>
      <c r="K32" s="65"/>
      <c r="L32" s="65"/>
    </row>
    <row r="33" spans="2:12" x14ac:dyDescent="0.25">
      <c r="B33" s="206"/>
      <c r="C33" s="206"/>
      <c r="D33" s="65"/>
      <c r="E33" s="65"/>
      <c r="F33" s="65"/>
      <c r="G33" s="65"/>
      <c r="H33" s="65"/>
      <c r="I33" s="65"/>
      <c r="J33" s="65"/>
      <c r="K33" s="65"/>
      <c r="L33" s="65"/>
    </row>
    <row r="34" spans="2:12" x14ac:dyDescent="0.25">
      <c r="B34" s="210"/>
      <c r="C34" s="206"/>
      <c r="D34" s="65"/>
      <c r="E34" s="65"/>
      <c r="F34" s="65"/>
      <c r="G34" s="65"/>
      <c r="H34" s="65"/>
      <c r="I34" s="65"/>
      <c r="J34" s="65"/>
      <c r="K34" s="65"/>
      <c r="L34" s="65"/>
    </row>
    <row r="35" spans="2:12" x14ac:dyDescent="0.25">
      <c r="B35" s="210"/>
      <c r="C35" s="206"/>
      <c r="D35" s="65"/>
      <c r="E35" s="65"/>
      <c r="F35" s="65"/>
      <c r="G35" s="65"/>
      <c r="H35" s="65"/>
      <c r="I35" s="65"/>
      <c r="J35" s="65"/>
      <c r="K35" s="65"/>
      <c r="L35" s="65"/>
    </row>
    <row r="36" spans="2:12" x14ac:dyDescent="0.25">
      <c r="B36" s="210"/>
      <c r="C36" s="206"/>
      <c r="D36" s="65"/>
      <c r="E36" s="65"/>
      <c r="F36" s="65"/>
      <c r="G36" s="65"/>
      <c r="H36" s="65"/>
      <c r="I36" s="65"/>
      <c r="J36" s="65"/>
      <c r="K36" s="65"/>
      <c r="L36" s="65"/>
    </row>
    <row r="37" spans="2:12" x14ac:dyDescent="0.25">
      <c r="B37" s="210"/>
      <c r="C37" s="206"/>
      <c r="D37" s="65"/>
      <c r="E37" s="65"/>
      <c r="F37" s="65"/>
      <c r="G37" s="65"/>
      <c r="H37" s="65"/>
      <c r="I37" s="65"/>
      <c r="J37" s="65"/>
      <c r="K37" s="65"/>
      <c r="L37" s="65"/>
    </row>
    <row r="38" spans="2:12" x14ac:dyDescent="0.25">
      <c r="B38" s="210"/>
      <c r="C38" s="206"/>
      <c r="D38" s="65"/>
      <c r="E38" s="65"/>
      <c r="F38" s="65"/>
      <c r="G38" s="65"/>
      <c r="H38" s="65"/>
      <c r="I38" s="65"/>
      <c r="J38" s="65"/>
      <c r="K38" s="65"/>
      <c r="L38" s="65"/>
    </row>
    <row r="39" spans="2:12" x14ac:dyDescent="0.25">
      <c r="B39" s="210"/>
      <c r="C39" s="206"/>
      <c r="D39" s="65"/>
      <c r="E39" s="65"/>
      <c r="F39" s="65"/>
      <c r="G39" s="65"/>
      <c r="H39" s="65"/>
      <c r="I39" s="65"/>
      <c r="J39" s="65"/>
      <c r="K39" s="65"/>
      <c r="L39" s="65"/>
    </row>
    <row r="40" spans="2:12" x14ac:dyDescent="0.25">
      <c r="B40" s="148"/>
      <c r="C40" s="148"/>
      <c r="D40" s="65"/>
      <c r="E40" s="65"/>
      <c r="F40" s="65"/>
      <c r="G40" s="65"/>
      <c r="H40" s="65"/>
      <c r="I40" s="65"/>
      <c r="J40" s="65"/>
      <c r="K40" s="65"/>
      <c r="L40" s="65"/>
    </row>
    <row r="41" spans="2:12" x14ac:dyDescent="0.25">
      <c r="C41" s="65"/>
      <c r="D41" s="65"/>
      <c r="E41" s="65"/>
      <c r="F41" s="65"/>
      <c r="G41" s="65"/>
      <c r="H41" s="65"/>
      <c r="I41" s="65"/>
      <c r="J41" s="65"/>
      <c r="K41" s="65"/>
      <c r="L41" s="65"/>
    </row>
    <row r="42" spans="2:12" x14ac:dyDescent="0.25">
      <c r="C42" s="65"/>
      <c r="D42" s="65"/>
      <c r="E42" s="65"/>
      <c r="F42" s="65"/>
      <c r="G42" s="65"/>
      <c r="H42" s="65"/>
      <c r="I42" s="65"/>
      <c r="J42" s="65"/>
      <c r="K42" s="65"/>
      <c r="L42" s="65"/>
    </row>
    <row r="43" spans="2:12" x14ac:dyDescent="0.25">
      <c r="C43" s="65"/>
      <c r="D43" s="65"/>
      <c r="E43" s="65"/>
      <c r="F43" s="65"/>
      <c r="G43" s="65"/>
      <c r="H43" s="65"/>
      <c r="I43" s="65"/>
      <c r="J43" s="65"/>
      <c r="K43" s="65"/>
      <c r="L43" s="65"/>
    </row>
    <row r="44" spans="2:12" x14ac:dyDescent="0.25">
      <c r="C44" s="65"/>
      <c r="D44" s="65"/>
      <c r="E44" s="65"/>
      <c r="F44" s="65"/>
      <c r="G44" s="65"/>
      <c r="H44" s="65"/>
      <c r="I44" s="65"/>
      <c r="J44" s="65"/>
      <c r="K44" s="65"/>
      <c r="L44" s="65"/>
    </row>
    <row r="45" spans="2:12" x14ac:dyDescent="0.25">
      <c r="C45" s="65"/>
      <c r="D45" s="65"/>
      <c r="E45" s="65"/>
      <c r="F45" s="65"/>
      <c r="G45" s="65"/>
      <c r="H45" s="65"/>
      <c r="I45" s="65"/>
      <c r="J45" s="65"/>
      <c r="K45" s="65"/>
      <c r="L45" s="65"/>
    </row>
    <row r="46" spans="2:12" x14ac:dyDescent="0.25">
      <c r="C46" s="65"/>
      <c r="D46" s="65"/>
      <c r="E46" s="65"/>
      <c r="F46" s="65"/>
      <c r="G46" s="65"/>
      <c r="H46" s="65"/>
      <c r="I46" s="65"/>
      <c r="J46" s="65"/>
      <c r="K46" s="65"/>
      <c r="L46" s="65"/>
    </row>
    <row r="47" spans="2:12" x14ac:dyDescent="0.25">
      <c r="C47" s="65"/>
      <c r="D47" s="65"/>
      <c r="E47" s="65"/>
      <c r="F47" s="65"/>
      <c r="G47" s="65"/>
      <c r="H47" s="65"/>
      <c r="I47" s="65"/>
      <c r="J47" s="65"/>
      <c r="K47" s="65"/>
      <c r="L47" s="65"/>
    </row>
    <row r="48" spans="2:12" x14ac:dyDescent="0.25">
      <c r="C48" s="65"/>
      <c r="D48" s="65"/>
      <c r="E48" s="65"/>
      <c r="F48" s="65"/>
      <c r="G48" s="65"/>
      <c r="H48" s="65"/>
      <c r="I48" s="65"/>
      <c r="J48" s="65"/>
      <c r="K48" s="65"/>
      <c r="L48" s="65"/>
    </row>
    <row r="49" spans="3:12" x14ac:dyDescent="0.25">
      <c r="C49" s="65"/>
      <c r="D49" s="65"/>
      <c r="E49" s="65"/>
      <c r="F49" s="65"/>
      <c r="G49" s="65"/>
      <c r="H49" s="65"/>
      <c r="I49" s="65"/>
      <c r="J49" s="65"/>
      <c r="K49" s="65"/>
      <c r="L49" s="65"/>
    </row>
    <row r="50" spans="3:12" x14ac:dyDescent="0.25">
      <c r="C50" s="65"/>
      <c r="D50" s="65"/>
      <c r="E50" s="65"/>
      <c r="F50" s="65"/>
      <c r="G50" s="65"/>
      <c r="H50" s="65"/>
      <c r="I50" s="65"/>
      <c r="J50" s="65"/>
      <c r="K50" s="65"/>
      <c r="L50" s="65"/>
    </row>
    <row r="51" spans="3:12" x14ac:dyDescent="0.25">
      <c r="C51" s="65"/>
      <c r="D51" s="65"/>
      <c r="E51" s="65"/>
      <c r="F51" s="65"/>
      <c r="G51" s="65"/>
      <c r="H51" s="65"/>
      <c r="I51" s="65"/>
      <c r="J51" s="65"/>
      <c r="K51" s="65"/>
      <c r="L51" s="65"/>
    </row>
    <row r="52" spans="3:12" x14ac:dyDescent="0.25">
      <c r="C52" s="65"/>
      <c r="D52" s="65"/>
      <c r="E52" s="65"/>
      <c r="F52" s="65"/>
      <c r="G52" s="65"/>
      <c r="H52" s="65"/>
      <c r="I52" s="65"/>
      <c r="J52" s="65"/>
      <c r="K52" s="65"/>
      <c r="L52" s="65"/>
    </row>
    <row r="53" spans="3:12" x14ac:dyDescent="0.25">
      <c r="C53" s="65"/>
      <c r="D53" s="65"/>
      <c r="E53" s="65"/>
      <c r="F53" s="65"/>
      <c r="G53" s="65"/>
      <c r="H53" s="65"/>
      <c r="I53" s="65"/>
      <c r="J53" s="65"/>
      <c r="K53" s="65"/>
      <c r="L53" s="65"/>
    </row>
    <row r="54" spans="3:12" x14ac:dyDescent="0.25">
      <c r="C54" s="65"/>
      <c r="D54" s="65"/>
      <c r="E54" s="65"/>
      <c r="F54" s="65"/>
      <c r="G54" s="65"/>
      <c r="H54" s="65"/>
      <c r="I54" s="65"/>
      <c r="J54" s="65"/>
      <c r="K54" s="65"/>
      <c r="L54" s="65"/>
    </row>
    <row r="55" spans="3:12" x14ac:dyDescent="0.25">
      <c r="C55" s="65"/>
      <c r="D55" s="65"/>
      <c r="E55" s="65"/>
      <c r="F55" s="65"/>
      <c r="G55" s="65"/>
      <c r="H55" s="65"/>
      <c r="I55" s="65"/>
      <c r="J55" s="65"/>
      <c r="K55" s="65"/>
      <c r="L55" s="65"/>
    </row>
    <row r="56" spans="3:12" x14ac:dyDescent="0.25">
      <c r="C56" s="65"/>
      <c r="D56" s="65"/>
      <c r="E56" s="65"/>
      <c r="F56" s="65"/>
      <c r="G56" s="65"/>
      <c r="H56" s="65"/>
      <c r="I56" s="65"/>
      <c r="J56" s="65"/>
      <c r="K56" s="65"/>
      <c r="L56" s="65"/>
    </row>
    <row r="57" spans="3:12" x14ac:dyDescent="0.25">
      <c r="C57" s="65"/>
      <c r="D57" s="65"/>
      <c r="E57" s="65"/>
      <c r="F57" s="65"/>
      <c r="G57" s="65"/>
      <c r="H57" s="65"/>
      <c r="I57" s="65"/>
      <c r="J57" s="65"/>
      <c r="K57" s="65"/>
      <c r="L57" s="65"/>
    </row>
    <row r="58" spans="3:12" x14ac:dyDescent="0.25">
      <c r="C58" s="65"/>
      <c r="D58" s="65"/>
      <c r="E58" s="65"/>
      <c r="F58" s="65"/>
      <c r="G58" s="65"/>
      <c r="H58" s="65"/>
      <c r="I58" s="65"/>
      <c r="J58" s="65"/>
      <c r="K58" s="65"/>
      <c r="L58" s="65"/>
    </row>
    <row r="59" spans="3:12" x14ac:dyDescent="0.25">
      <c r="C59" s="65"/>
      <c r="D59" s="65"/>
      <c r="E59" s="65"/>
      <c r="F59" s="65"/>
      <c r="G59" s="65"/>
      <c r="H59" s="65"/>
      <c r="I59" s="65"/>
      <c r="J59" s="65"/>
      <c r="K59" s="65"/>
      <c r="L59" s="65"/>
    </row>
    <row r="60" spans="3:12" x14ac:dyDescent="0.25">
      <c r="C60" s="65"/>
      <c r="D60" s="65"/>
      <c r="E60" s="65"/>
      <c r="F60" s="65"/>
      <c r="G60" s="65"/>
      <c r="H60" s="65"/>
      <c r="I60" s="65"/>
      <c r="J60" s="65"/>
      <c r="K60" s="65"/>
      <c r="L60" s="65"/>
    </row>
    <row r="61" spans="3:12" x14ac:dyDescent="0.25">
      <c r="C61" s="65"/>
      <c r="D61" s="65"/>
      <c r="E61" s="65"/>
      <c r="F61" s="65"/>
      <c r="G61" s="65"/>
      <c r="H61" s="65"/>
      <c r="I61" s="65"/>
      <c r="J61" s="65"/>
      <c r="K61" s="65"/>
      <c r="L61" s="65"/>
    </row>
    <row r="62" spans="3:12" x14ac:dyDescent="0.25">
      <c r="C62" s="65"/>
      <c r="D62" s="65"/>
      <c r="E62" s="65"/>
      <c r="F62" s="65"/>
      <c r="G62" s="65"/>
      <c r="H62" s="65"/>
      <c r="I62" s="65"/>
      <c r="J62" s="65"/>
      <c r="K62" s="65"/>
      <c r="L62" s="65"/>
    </row>
    <row r="63" spans="3:12" x14ac:dyDescent="0.25">
      <c r="C63" s="65"/>
      <c r="D63" s="65"/>
      <c r="E63" s="65"/>
      <c r="F63" s="65"/>
      <c r="G63" s="65"/>
      <c r="H63" s="65"/>
      <c r="I63" s="65"/>
      <c r="J63" s="65"/>
      <c r="K63" s="65"/>
      <c r="L63" s="65"/>
    </row>
    <row r="64" spans="3:12" x14ac:dyDescent="0.25">
      <c r="C64" s="65"/>
      <c r="D64" s="65"/>
      <c r="E64" s="65"/>
      <c r="F64" s="65"/>
      <c r="G64" s="65"/>
      <c r="H64" s="65"/>
      <c r="I64" s="65"/>
      <c r="J64" s="65"/>
      <c r="K64" s="65"/>
      <c r="L64" s="65"/>
    </row>
    <row r="65" spans="3:12" x14ac:dyDescent="0.25">
      <c r="C65" s="65"/>
      <c r="D65" s="65"/>
      <c r="E65" s="65"/>
      <c r="F65" s="65"/>
      <c r="G65" s="65"/>
      <c r="H65" s="65"/>
      <c r="I65" s="65"/>
      <c r="J65" s="65"/>
      <c r="K65" s="65"/>
      <c r="L65" s="65"/>
    </row>
    <row r="66" spans="3:12" x14ac:dyDescent="0.25">
      <c r="C66" s="65"/>
      <c r="D66" s="65"/>
      <c r="E66" s="65"/>
      <c r="F66" s="65"/>
      <c r="G66" s="65"/>
      <c r="H66" s="65"/>
      <c r="I66" s="65"/>
      <c r="J66" s="65"/>
      <c r="K66" s="65"/>
      <c r="L66" s="65"/>
    </row>
    <row r="67" spans="3:12" x14ac:dyDescent="0.25">
      <c r="C67" s="65"/>
      <c r="D67" s="65"/>
      <c r="E67" s="65"/>
      <c r="F67" s="65"/>
      <c r="G67" s="65"/>
      <c r="H67" s="65"/>
      <c r="I67" s="65"/>
      <c r="J67" s="65"/>
      <c r="K67" s="65"/>
      <c r="L67" s="65"/>
    </row>
    <row r="68" spans="3:12" x14ac:dyDescent="0.25">
      <c r="C68" s="65"/>
      <c r="D68" s="65"/>
      <c r="E68" s="65"/>
      <c r="F68" s="65"/>
      <c r="G68" s="65"/>
      <c r="H68" s="65"/>
      <c r="I68" s="65"/>
      <c r="J68" s="65"/>
      <c r="K68" s="65"/>
      <c r="L68" s="65"/>
    </row>
    <row r="69" spans="3:12" x14ac:dyDescent="0.25">
      <c r="C69" s="65"/>
      <c r="D69" s="65"/>
      <c r="E69" s="65"/>
      <c r="F69" s="65"/>
      <c r="G69" s="65"/>
      <c r="H69" s="65"/>
      <c r="I69" s="65"/>
      <c r="J69" s="65"/>
      <c r="K69" s="65"/>
      <c r="L69" s="65"/>
    </row>
    <row r="70" spans="3:12" x14ac:dyDescent="0.25">
      <c r="C70" s="65"/>
      <c r="D70" s="65"/>
      <c r="E70" s="65"/>
      <c r="F70" s="65"/>
      <c r="G70" s="65"/>
      <c r="H70" s="65"/>
      <c r="I70" s="65"/>
      <c r="J70" s="65"/>
      <c r="K70" s="65"/>
      <c r="L70" s="65"/>
    </row>
    <row r="71" spans="3:12" x14ac:dyDescent="0.25">
      <c r="C71" s="65"/>
      <c r="D71" s="65"/>
      <c r="E71" s="65"/>
      <c r="F71" s="65"/>
      <c r="G71" s="65"/>
      <c r="H71" s="65"/>
      <c r="I71" s="65"/>
      <c r="J71" s="65"/>
      <c r="K71" s="65"/>
      <c r="L71" s="65"/>
    </row>
    <row r="72" spans="3:12" x14ac:dyDescent="0.25">
      <c r="C72" s="65"/>
      <c r="D72" s="65"/>
      <c r="E72" s="65"/>
      <c r="F72" s="65"/>
      <c r="G72" s="65"/>
      <c r="H72" s="65"/>
      <c r="I72" s="65"/>
      <c r="J72" s="65"/>
      <c r="K72" s="65"/>
      <c r="L72" s="65"/>
    </row>
    <row r="73" spans="3:12" x14ac:dyDescent="0.25">
      <c r="C73" s="65"/>
      <c r="D73" s="65"/>
      <c r="E73" s="65"/>
      <c r="F73" s="65"/>
      <c r="G73" s="65"/>
      <c r="H73" s="65"/>
      <c r="I73" s="65"/>
      <c r="J73" s="65"/>
      <c r="K73" s="65"/>
      <c r="L73" s="65"/>
    </row>
    <row r="74" spans="3:12" x14ac:dyDescent="0.25">
      <c r="C74" s="65"/>
      <c r="D74" s="65"/>
      <c r="E74" s="65"/>
      <c r="F74" s="65"/>
      <c r="G74" s="65"/>
      <c r="H74" s="65"/>
      <c r="I74" s="65"/>
      <c r="J74" s="65"/>
      <c r="K74" s="65"/>
      <c r="L74" s="65"/>
    </row>
    <row r="75" spans="3:12" x14ac:dyDescent="0.25">
      <c r="C75" s="65"/>
      <c r="D75" s="65"/>
      <c r="E75" s="65"/>
      <c r="F75" s="65"/>
      <c r="G75" s="65"/>
      <c r="H75" s="65"/>
      <c r="I75" s="65"/>
      <c r="J75" s="65"/>
      <c r="K75" s="65"/>
      <c r="L75" s="65"/>
    </row>
    <row r="76" spans="3:12" x14ac:dyDescent="0.25">
      <c r="C76" s="65"/>
      <c r="D76" s="65"/>
      <c r="E76" s="65"/>
      <c r="F76" s="65"/>
      <c r="G76" s="65"/>
      <c r="H76" s="65"/>
      <c r="I76" s="65"/>
      <c r="J76" s="65"/>
      <c r="K76" s="65"/>
      <c r="L76" s="65"/>
    </row>
    <row r="77" spans="3:12" x14ac:dyDescent="0.25">
      <c r="C77" s="65"/>
      <c r="D77" s="65"/>
      <c r="E77" s="65"/>
      <c r="F77" s="65"/>
      <c r="G77" s="65"/>
      <c r="H77" s="65"/>
      <c r="I77" s="65"/>
      <c r="J77" s="65"/>
      <c r="K77" s="65"/>
      <c r="L77" s="65"/>
    </row>
    <row r="78" spans="3:12" x14ac:dyDescent="0.25">
      <c r="C78" s="65"/>
      <c r="D78" s="65"/>
      <c r="E78" s="65"/>
      <c r="F78" s="65"/>
      <c r="G78" s="65"/>
      <c r="H78" s="65"/>
      <c r="I78" s="65"/>
      <c r="J78" s="65"/>
      <c r="K78" s="65"/>
      <c r="L78" s="65"/>
    </row>
    <row r="79" spans="3:12" x14ac:dyDescent="0.25">
      <c r="C79" s="65"/>
      <c r="D79" s="65"/>
      <c r="E79" s="65"/>
      <c r="F79" s="65"/>
      <c r="G79" s="65"/>
      <c r="H79" s="65"/>
      <c r="I79" s="65"/>
      <c r="J79" s="65"/>
      <c r="K79" s="65"/>
      <c r="L79" s="65"/>
    </row>
    <row r="80" spans="3:12" x14ac:dyDescent="0.25">
      <c r="C80" s="65"/>
      <c r="D80" s="65"/>
      <c r="E80" s="65"/>
      <c r="F80" s="65"/>
      <c r="G80" s="65"/>
      <c r="H80" s="65"/>
      <c r="I80" s="65"/>
      <c r="J80" s="65"/>
      <c r="K80" s="65"/>
      <c r="L80" s="65"/>
    </row>
    <row r="81" spans="3:12" x14ac:dyDescent="0.25">
      <c r="C81" s="65"/>
      <c r="D81" s="65"/>
      <c r="E81" s="65"/>
      <c r="F81" s="65"/>
      <c r="G81" s="65"/>
      <c r="H81" s="65"/>
      <c r="I81" s="65"/>
      <c r="J81" s="65"/>
      <c r="K81" s="65"/>
      <c r="L81" s="65"/>
    </row>
  </sheetData>
  <mergeCells count="9">
    <mergeCell ref="B4:M4"/>
    <mergeCell ref="B5:M5"/>
    <mergeCell ref="B2:M2"/>
    <mergeCell ref="L6:M6"/>
    <mergeCell ref="B31:C31"/>
    <mergeCell ref="J27:K27"/>
    <mergeCell ref="J25:K25"/>
    <mergeCell ref="B6:F6"/>
    <mergeCell ref="H6:I6"/>
  </mergeCells>
  <phoneticPr fontId="81" type="noConversion"/>
  <pageMargins left="0.47244094488188981" right="0.15748031496062992" top="0.98425196850393704" bottom="0.98425196850393704" header="0.51181102362204722" footer="0.51181102362204722"/>
  <pageSetup scale="85" orientation="landscape" r:id="rId1"/>
  <colBreaks count="1" manualBreakCount="1">
    <brk id="13" max="1048575" man="1"/>
  </colBreaks>
  <legacy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7"/>
  <dimension ref="A3:J24"/>
  <sheetViews>
    <sheetView workbookViewId="0">
      <selection activeCell="C18" sqref="C18"/>
    </sheetView>
  </sheetViews>
  <sheetFormatPr baseColWidth="10" defaultColWidth="11.42578125" defaultRowHeight="15" x14ac:dyDescent="0.25"/>
  <cols>
    <col min="1" max="1" width="15.7109375" customWidth="1"/>
    <col min="2" max="2" width="24.7109375" style="1" customWidth="1"/>
    <col min="3" max="3" width="19.42578125" style="1" customWidth="1"/>
  </cols>
  <sheetData>
    <row r="3" spans="1:10" ht="30.75" customHeight="1" x14ac:dyDescent="0.25">
      <c r="B3" s="529" t="s">
        <v>12</v>
      </c>
      <c r="C3" s="529"/>
      <c r="D3" s="530"/>
    </row>
    <row r="4" spans="1:10" ht="15.75" customHeight="1" x14ac:dyDescent="0.3">
      <c r="A4" s="876"/>
      <c r="B4" s="876"/>
      <c r="C4" s="876"/>
      <c r="D4" s="876"/>
    </row>
    <row r="5" spans="1:10" ht="20.25" customHeight="1" x14ac:dyDescent="0.25">
      <c r="A5" s="877" t="s">
        <v>328</v>
      </c>
      <c r="B5" s="877"/>
      <c r="C5" s="877"/>
      <c r="D5" s="877"/>
      <c r="E5" s="877"/>
    </row>
    <row r="6" spans="1:10" ht="20.25" customHeight="1" x14ac:dyDescent="0.25">
      <c r="A6" s="877" t="s">
        <v>835</v>
      </c>
      <c r="B6" s="877"/>
      <c r="C6" s="877"/>
      <c r="D6" s="877"/>
      <c r="E6" s="877"/>
    </row>
    <row r="7" spans="1:10" x14ac:dyDescent="0.25">
      <c r="A7" s="186"/>
      <c r="B7" s="186"/>
      <c r="C7" s="186"/>
    </row>
    <row r="8" spans="1:10" s="31" customFormat="1" x14ac:dyDescent="0.25">
      <c r="A8" s="284"/>
      <c r="B8" s="284"/>
      <c r="C8" s="284"/>
    </row>
    <row r="9" spans="1:10" x14ac:dyDescent="0.25">
      <c r="A9" s="186"/>
      <c r="B9" s="186"/>
      <c r="C9" s="186"/>
    </row>
    <row r="10" spans="1:10" ht="15.75" x14ac:dyDescent="0.25">
      <c r="C10" s="189"/>
    </row>
    <row r="11" spans="1:10" ht="15.75" x14ac:dyDescent="0.25">
      <c r="B11" s="43" t="s">
        <v>217</v>
      </c>
      <c r="C11" s="199">
        <f>+'Balanza Con'!D13</f>
        <v>801093.05</v>
      </c>
    </row>
    <row r="12" spans="1:10" ht="15.75" x14ac:dyDescent="0.25">
      <c r="B12" s="43" t="s">
        <v>218</v>
      </c>
      <c r="C12" s="200">
        <f>+'Balanza Con'!E13-ED!H188</f>
        <v>13688</v>
      </c>
    </row>
    <row r="13" spans="1:10" ht="15.75" x14ac:dyDescent="0.25">
      <c r="B13" s="43" t="s">
        <v>76</v>
      </c>
      <c r="C13" s="645">
        <f>SUM(C11:C12)</f>
        <v>814781.05</v>
      </c>
    </row>
    <row r="14" spans="1:10" ht="15.75" x14ac:dyDescent="0.25">
      <c r="B14" s="43" t="s">
        <v>219</v>
      </c>
      <c r="C14" s="201">
        <f>+ED!H182</f>
        <v>48126.16</v>
      </c>
      <c r="D14" s="549"/>
    </row>
    <row r="15" spans="1:10" ht="15.75" x14ac:dyDescent="0.25">
      <c r="B15" s="44" t="s">
        <v>221</v>
      </c>
      <c r="C15" s="646">
        <f>C13-C14</f>
        <v>766654.89</v>
      </c>
    </row>
    <row r="16" spans="1:10" ht="15.75" x14ac:dyDescent="0.25">
      <c r="B16" s="43" t="s">
        <v>222</v>
      </c>
      <c r="C16" s="589">
        <v>0.01</v>
      </c>
      <c r="D16" s="549"/>
      <c r="G16" s="1"/>
      <c r="H16" s="1"/>
      <c r="I16" s="1"/>
      <c r="J16" s="1"/>
    </row>
    <row r="17" spans="2:4" ht="15.75" x14ac:dyDescent="0.25">
      <c r="B17" s="43" t="s">
        <v>223</v>
      </c>
      <c r="C17" s="202">
        <v>0</v>
      </c>
      <c r="D17" s="549"/>
    </row>
    <row r="18" spans="2:4" ht="16.5" thickBot="1" x14ac:dyDescent="0.3">
      <c r="B18" s="44" t="s">
        <v>220</v>
      </c>
      <c r="C18" s="203">
        <f>+C15+C16-C17</f>
        <v>766654.9</v>
      </c>
    </row>
    <row r="19" spans="2:4" ht="16.5" thickTop="1" x14ac:dyDescent="0.25">
      <c r="B19" s="199"/>
      <c r="C19" s="199"/>
    </row>
    <row r="20" spans="2:4" x14ac:dyDescent="0.25">
      <c r="C20" s="187"/>
      <c r="D20" s="3"/>
    </row>
    <row r="21" spans="2:4" x14ac:dyDescent="0.25">
      <c r="C21" s="36"/>
    </row>
    <row r="22" spans="2:4" x14ac:dyDescent="0.25">
      <c r="C22" s="36"/>
    </row>
    <row r="24" spans="2:4" x14ac:dyDescent="0.25">
      <c r="C24" s="2"/>
    </row>
  </sheetData>
  <mergeCells count="3">
    <mergeCell ref="A4:D4"/>
    <mergeCell ref="A5:E5"/>
    <mergeCell ref="A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7"/>
  <dimension ref="A2:I15"/>
  <sheetViews>
    <sheetView zoomScale="112" zoomScaleNormal="112" workbookViewId="0">
      <selection activeCell="E18" sqref="E18"/>
    </sheetView>
  </sheetViews>
  <sheetFormatPr baseColWidth="10" defaultColWidth="11.42578125" defaultRowHeight="15" x14ac:dyDescent="0.25"/>
  <cols>
    <col min="1" max="1" width="1.42578125" customWidth="1"/>
    <col min="4" max="4" width="17" customWidth="1"/>
    <col min="5" max="5" width="32.28515625" customWidth="1"/>
    <col min="6" max="6" width="15.28515625" customWidth="1"/>
  </cols>
  <sheetData>
    <row r="2" spans="1:9" s="20" customFormat="1" ht="24.75" customHeight="1" x14ac:dyDescent="0.35">
      <c r="A2" s="879" t="s">
        <v>93</v>
      </c>
      <c r="B2" s="879"/>
      <c r="C2" s="879"/>
      <c r="D2" s="879"/>
      <c r="E2" s="879"/>
      <c r="F2" s="879"/>
    </row>
    <row r="3" spans="1:9" s="20" customFormat="1" ht="15" customHeight="1" x14ac:dyDescent="0.3">
      <c r="B3" s="868"/>
      <c r="C3" s="868"/>
      <c r="D3" s="868"/>
      <c r="E3" s="868"/>
      <c r="F3" s="868"/>
    </row>
    <row r="4" spans="1:9" s="20" customFormat="1" ht="17.25" customHeight="1" x14ac:dyDescent="0.3">
      <c r="A4" s="880" t="s">
        <v>836</v>
      </c>
      <c r="B4" s="880"/>
      <c r="C4" s="880"/>
      <c r="D4" s="880"/>
      <c r="E4" s="880"/>
      <c r="F4" s="880"/>
    </row>
    <row r="5" spans="1:9" s="20" customFormat="1" ht="14.25" customHeight="1" x14ac:dyDescent="0.25">
      <c r="A5" s="21"/>
      <c r="B5" s="21"/>
      <c r="C5" s="21"/>
      <c r="D5" s="21"/>
      <c r="E5" s="21"/>
      <c r="F5" s="21"/>
    </row>
    <row r="6" spans="1:9" s="20" customFormat="1" ht="14.25" customHeight="1" x14ac:dyDescent="0.25">
      <c r="A6" s="21"/>
      <c r="B6" s="21"/>
      <c r="C6" s="21"/>
      <c r="D6" s="21"/>
      <c r="E6" s="21"/>
      <c r="F6" s="21"/>
    </row>
    <row r="7" spans="1:9" ht="31.5" customHeight="1" x14ac:dyDescent="0.25">
      <c r="B7" s="881" t="s">
        <v>392</v>
      </c>
      <c r="C7" s="881"/>
      <c r="D7" s="881"/>
      <c r="E7" s="34"/>
      <c r="F7" s="175" t="s">
        <v>113</v>
      </c>
      <c r="G7" s="175"/>
    </row>
    <row r="8" spans="1:9" ht="15.75" x14ac:dyDescent="0.25">
      <c r="B8" s="882" t="s">
        <v>27</v>
      </c>
      <c r="C8" s="882"/>
      <c r="D8" s="882"/>
      <c r="E8" s="882"/>
      <c r="F8" s="176">
        <v>43117.5</v>
      </c>
      <c r="H8" s="5"/>
      <c r="I8" s="3"/>
    </row>
    <row r="9" spans="1:9" ht="15.75" x14ac:dyDescent="0.25">
      <c r="B9" s="882" t="s">
        <v>644</v>
      </c>
      <c r="C9" s="882"/>
      <c r="D9" s="882"/>
      <c r="E9" s="882"/>
      <c r="F9" s="511">
        <f>+SEGURO!L9</f>
        <v>0</v>
      </c>
      <c r="H9" s="5"/>
      <c r="I9" s="3"/>
    </row>
    <row r="10" spans="1:9" ht="15.75" x14ac:dyDescent="0.25">
      <c r="B10" s="882" t="s">
        <v>654</v>
      </c>
      <c r="C10" s="882"/>
      <c r="D10" s="882"/>
      <c r="E10" s="882"/>
      <c r="F10" s="511">
        <f>+SEGURO!L11</f>
        <v>152571.76416666669</v>
      </c>
      <c r="H10" s="5"/>
      <c r="I10" s="3"/>
    </row>
    <row r="11" spans="1:9" ht="15.75" x14ac:dyDescent="0.25">
      <c r="B11" s="878" t="s">
        <v>645</v>
      </c>
      <c r="C11" s="878"/>
      <c r="D11" s="878"/>
      <c r="E11" s="878"/>
      <c r="F11" s="511">
        <f>+SEGURO!L10</f>
        <v>0</v>
      </c>
      <c r="H11" s="5"/>
      <c r="I11" s="3"/>
    </row>
    <row r="12" spans="1:9" ht="15.75" x14ac:dyDescent="0.25">
      <c r="B12" s="878" t="s">
        <v>675</v>
      </c>
      <c r="C12" s="878"/>
      <c r="D12" s="878"/>
      <c r="E12" s="878"/>
      <c r="F12" s="396">
        <f>+SEGURO!L12</f>
        <v>34567.106666666681</v>
      </c>
      <c r="H12" s="5"/>
      <c r="I12" s="3"/>
    </row>
    <row r="13" spans="1:9" ht="19.5" customHeight="1" thickBot="1" x14ac:dyDescent="0.3">
      <c r="B13" s="44" t="s">
        <v>76</v>
      </c>
      <c r="C13" s="43"/>
      <c r="D13" s="43"/>
      <c r="E13" s="43"/>
      <c r="F13" s="177">
        <f>SUM(F8:F12)</f>
        <v>230256.37083333338</v>
      </c>
    </row>
    <row r="14" spans="1:9" ht="15.75" thickTop="1" x14ac:dyDescent="0.25"/>
    <row r="15" spans="1:9" ht="15.75" x14ac:dyDescent="0.25">
      <c r="B15" s="22"/>
    </row>
  </sheetData>
  <mergeCells count="9">
    <mergeCell ref="B12:E12"/>
    <mergeCell ref="B11:E11"/>
    <mergeCell ref="A2:F2"/>
    <mergeCell ref="B3:F3"/>
    <mergeCell ref="A4:F4"/>
    <mergeCell ref="B7:D7"/>
    <mergeCell ref="B9:E9"/>
    <mergeCell ref="B8:E8"/>
    <mergeCell ref="B10:E10"/>
  </mergeCells>
  <printOptions horizontalCentered="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6"/>
  <dimension ref="B1:Q22"/>
  <sheetViews>
    <sheetView topLeftCell="B1" zoomScale="80" zoomScaleNormal="80" zoomScaleSheetLayoutView="50" workbookViewId="0">
      <selection activeCell="M10" sqref="M10"/>
    </sheetView>
  </sheetViews>
  <sheetFormatPr baseColWidth="10" defaultColWidth="11.42578125" defaultRowHeight="12.75" x14ac:dyDescent="0.2"/>
  <cols>
    <col min="1" max="1" width="1.7109375" style="9" customWidth="1"/>
    <col min="2" max="2" width="13" style="9" customWidth="1"/>
    <col min="3" max="3" width="29.42578125" style="9" customWidth="1"/>
    <col min="4" max="4" width="12.42578125" style="9" customWidth="1"/>
    <col min="5" max="5" width="13.7109375" style="9" customWidth="1"/>
    <col min="6" max="6" width="14.140625" style="9" customWidth="1"/>
    <col min="7" max="7" width="15" style="293" customWidth="1"/>
    <col min="8" max="8" width="13" style="293" customWidth="1"/>
    <col min="9" max="9" width="16.28515625" style="9" customWidth="1"/>
    <col min="10" max="10" width="20.140625" style="9" customWidth="1"/>
    <col min="11" max="11" width="18.28515625" style="9" customWidth="1"/>
    <col min="12" max="12" width="17.140625" style="9" customWidth="1"/>
    <col min="13" max="13" width="41.42578125" style="9" bestFit="1" customWidth="1"/>
    <col min="14" max="14" width="13.85546875" style="9" customWidth="1"/>
    <col min="15" max="15" width="21.7109375" style="9" customWidth="1"/>
    <col min="16" max="16" width="14" style="9" customWidth="1"/>
    <col min="17" max="17" width="16.85546875" style="9" customWidth="1"/>
    <col min="18" max="258" width="11.42578125" style="9"/>
    <col min="259" max="259" width="13.5703125" style="9" customWidth="1"/>
    <col min="260" max="260" width="16.28515625" style="9" customWidth="1"/>
    <col min="261" max="262" width="11.42578125" style="9"/>
    <col min="263" max="263" width="12.85546875" style="9" customWidth="1"/>
    <col min="264" max="264" width="13" style="9" customWidth="1"/>
    <col min="265" max="265" width="15.42578125" style="9" customWidth="1"/>
    <col min="266" max="266" width="20.140625" style="9" customWidth="1"/>
    <col min="267" max="267" width="18.28515625" style="9" customWidth="1"/>
    <col min="268" max="268" width="13.85546875" style="9" customWidth="1"/>
    <col min="269" max="269" width="41.42578125" style="9" bestFit="1" customWidth="1"/>
    <col min="270" max="514" width="11.42578125" style="9"/>
    <col min="515" max="515" width="13.5703125" style="9" customWidth="1"/>
    <col min="516" max="516" width="16.28515625" style="9" customWidth="1"/>
    <col min="517" max="518" width="11.42578125" style="9"/>
    <col min="519" max="519" width="12.85546875" style="9" customWidth="1"/>
    <col min="520" max="520" width="13" style="9" customWidth="1"/>
    <col min="521" max="521" width="15.42578125" style="9" customWidth="1"/>
    <col min="522" max="522" width="20.140625" style="9" customWidth="1"/>
    <col min="523" max="523" width="18.28515625" style="9" customWidth="1"/>
    <col min="524" max="524" width="13.85546875" style="9" customWidth="1"/>
    <col min="525" max="525" width="41.42578125" style="9" bestFit="1" customWidth="1"/>
    <col min="526" max="770" width="11.42578125" style="9"/>
    <col min="771" max="771" width="13.5703125" style="9" customWidth="1"/>
    <col min="772" max="772" width="16.28515625" style="9" customWidth="1"/>
    <col min="773" max="774" width="11.42578125" style="9"/>
    <col min="775" max="775" width="12.85546875" style="9" customWidth="1"/>
    <col min="776" max="776" width="13" style="9" customWidth="1"/>
    <col min="777" max="777" width="15.42578125" style="9" customWidth="1"/>
    <col min="778" max="778" width="20.140625" style="9" customWidth="1"/>
    <col min="779" max="779" width="18.28515625" style="9" customWidth="1"/>
    <col min="780" max="780" width="13.85546875" style="9" customWidth="1"/>
    <col min="781" max="781" width="41.42578125" style="9" bestFit="1" customWidth="1"/>
    <col min="782" max="1026" width="11.42578125" style="9"/>
    <col min="1027" max="1027" width="13.5703125" style="9" customWidth="1"/>
    <col min="1028" max="1028" width="16.28515625" style="9" customWidth="1"/>
    <col min="1029" max="1030" width="11.42578125" style="9"/>
    <col min="1031" max="1031" width="12.85546875" style="9" customWidth="1"/>
    <col min="1032" max="1032" width="13" style="9" customWidth="1"/>
    <col min="1033" max="1033" width="15.42578125" style="9" customWidth="1"/>
    <col min="1034" max="1034" width="20.140625" style="9" customWidth="1"/>
    <col min="1035" max="1035" width="18.28515625" style="9" customWidth="1"/>
    <col min="1036" max="1036" width="13.85546875" style="9" customWidth="1"/>
    <col min="1037" max="1037" width="41.42578125" style="9" bestFit="1" customWidth="1"/>
    <col min="1038" max="1282" width="11.42578125" style="9"/>
    <col min="1283" max="1283" width="13.5703125" style="9" customWidth="1"/>
    <col min="1284" max="1284" width="16.28515625" style="9" customWidth="1"/>
    <col min="1285" max="1286" width="11.42578125" style="9"/>
    <col min="1287" max="1287" width="12.85546875" style="9" customWidth="1"/>
    <col min="1288" max="1288" width="13" style="9" customWidth="1"/>
    <col min="1289" max="1289" width="15.42578125" style="9" customWidth="1"/>
    <col min="1290" max="1290" width="20.140625" style="9" customWidth="1"/>
    <col min="1291" max="1291" width="18.28515625" style="9" customWidth="1"/>
    <col min="1292" max="1292" width="13.85546875" style="9" customWidth="1"/>
    <col min="1293" max="1293" width="41.42578125" style="9" bestFit="1" customWidth="1"/>
    <col min="1294" max="1538" width="11.42578125" style="9"/>
    <col min="1539" max="1539" width="13.5703125" style="9" customWidth="1"/>
    <col min="1540" max="1540" width="16.28515625" style="9" customWidth="1"/>
    <col min="1541" max="1542" width="11.42578125" style="9"/>
    <col min="1543" max="1543" width="12.85546875" style="9" customWidth="1"/>
    <col min="1544" max="1544" width="13" style="9" customWidth="1"/>
    <col min="1545" max="1545" width="15.42578125" style="9" customWidth="1"/>
    <col min="1546" max="1546" width="20.140625" style="9" customWidth="1"/>
    <col min="1547" max="1547" width="18.28515625" style="9" customWidth="1"/>
    <col min="1548" max="1548" width="13.85546875" style="9" customWidth="1"/>
    <col min="1549" max="1549" width="41.42578125" style="9" bestFit="1" customWidth="1"/>
    <col min="1550" max="1794" width="11.42578125" style="9"/>
    <col min="1795" max="1795" width="13.5703125" style="9" customWidth="1"/>
    <col min="1796" max="1796" width="16.28515625" style="9" customWidth="1"/>
    <col min="1797" max="1798" width="11.42578125" style="9"/>
    <col min="1799" max="1799" width="12.85546875" style="9" customWidth="1"/>
    <col min="1800" max="1800" width="13" style="9" customWidth="1"/>
    <col min="1801" max="1801" width="15.42578125" style="9" customWidth="1"/>
    <col min="1802" max="1802" width="20.140625" style="9" customWidth="1"/>
    <col min="1803" max="1803" width="18.28515625" style="9" customWidth="1"/>
    <col min="1804" max="1804" width="13.85546875" style="9" customWidth="1"/>
    <col min="1805" max="1805" width="41.42578125" style="9" bestFit="1" customWidth="1"/>
    <col min="1806" max="2050" width="11.42578125" style="9"/>
    <col min="2051" max="2051" width="13.5703125" style="9" customWidth="1"/>
    <col min="2052" max="2052" width="16.28515625" style="9" customWidth="1"/>
    <col min="2053" max="2054" width="11.42578125" style="9"/>
    <col min="2055" max="2055" width="12.85546875" style="9" customWidth="1"/>
    <col min="2056" max="2056" width="13" style="9" customWidth="1"/>
    <col min="2057" max="2057" width="15.42578125" style="9" customWidth="1"/>
    <col min="2058" max="2058" width="20.140625" style="9" customWidth="1"/>
    <col min="2059" max="2059" width="18.28515625" style="9" customWidth="1"/>
    <col min="2060" max="2060" width="13.85546875" style="9" customWidth="1"/>
    <col min="2061" max="2061" width="41.42578125" style="9" bestFit="1" customWidth="1"/>
    <col min="2062" max="2306" width="11.42578125" style="9"/>
    <col min="2307" max="2307" width="13.5703125" style="9" customWidth="1"/>
    <col min="2308" max="2308" width="16.28515625" style="9" customWidth="1"/>
    <col min="2309" max="2310" width="11.42578125" style="9"/>
    <col min="2311" max="2311" width="12.85546875" style="9" customWidth="1"/>
    <col min="2312" max="2312" width="13" style="9" customWidth="1"/>
    <col min="2313" max="2313" width="15.42578125" style="9" customWidth="1"/>
    <col min="2314" max="2314" width="20.140625" style="9" customWidth="1"/>
    <col min="2315" max="2315" width="18.28515625" style="9" customWidth="1"/>
    <col min="2316" max="2316" width="13.85546875" style="9" customWidth="1"/>
    <col min="2317" max="2317" width="41.42578125" style="9" bestFit="1" customWidth="1"/>
    <col min="2318" max="2562" width="11.42578125" style="9"/>
    <col min="2563" max="2563" width="13.5703125" style="9" customWidth="1"/>
    <col min="2564" max="2564" width="16.28515625" style="9" customWidth="1"/>
    <col min="2565" max="2566" width="11.42578125" style="9"/>
    <col min="2567" max="2567" width="12.85546875" style="9" customWidth="1"/>
    <col min="2568" max="2568" width="13" style="9" customWidth="1"/>
    <col min="2569" max="2569" width="15.42578125" style="9" customWidth="1"/>
    <col min="2570" max="2570" width="20.140625" style="9" customWidth="1"/>
    <col min="2571" max="2571" width="18.28515625" style="9" customWidth="1"/>
    <col min="2572" max="2572" width="13.85546875" style="9" customWidth="1"/>
    <col min="2573" max="2573" width="41.42578125" style="9" bestFit="1" customWidth="1"/>
    <col min="2574" max="2818" width="11.42578125" style="9"/>
    <col min="2819" max="2819" width="13.5703125" style="9" customWidth="1"/>
    <col min="2820" max="2820" width="16.28515625" style="9" customWidth="1"/>
    <col min="2821" max="2822" width="11.42578125" style="9"/>
    <col min="2823" max="2823" width="12.85546875" style="9" customWidth="1"/>
    <col min="2824" max="2824" width="13" style="9" customWidth="1"/>
    <col min="2825" max="2825" width="15.42578125" style="9" customWidth="1"/>
    <col min="2826" max="2826" width="20.140625" style="9" customWidth="1"/>
    <col min="2827" max="2827" width="18.28515625" style="9" customWidth="1"/>
    <col min="2828" max="2828" width="13.85546875" style="9" customWidth="1"/>
    <col min="2829" max="2829" width="41.42578125" style="9" bestFit="1" customWidth="1"/>
    <col min="2830" max="3074" width="11.42578125" style="9"/>
    <col min="3075" max="3075" width="13.5703125" style="9" customWidth="1"/>
    <col min="3076" max="3076" width="16.28515625" style="9" customWidth="1"/>
    <col min="3077" max="3078" width="11.42578125" style="9"/>
    <col min="3079" max="3079" width="12.85546875" style="9" customWidth="1"/>
    <col min="3080" max="3080" width="13" style="9" customWidth="1"/>
    <col min="3081" max="3081" width="15.42578125" style="9" customWidth="1"/>
    <col min="3082" max="3082" width="20.140625" style="9" customWidth="1"/>
    <col min="3083" max="3083" width="18.28515625" style="9" customWidth="1"/>
    <col min="3084" max="3084" width="13.85546875" style="9" customWidth="1"/>
    <col min="3085" max="3085" width="41.42578125" style="9" bestFit="1" customWidth="1"/>
    <col min="3086" max="3330" width="11.42578125" style="9"/>
    <col min="3331" max="3331" width="13.5703125" style="9" customWidth="1"/>
    <col min="3332" max="3332" width="16.28515625" style="9" customWidth="1"/>
    <col min="3333" max="3334" width="11.42578125" style="9"/>
    <col min="3335" max="3335" width="12.85546875" style="9" customWidth="1"/>
    <col min="3336" max="3336" width="13" style="9" customWidth="1"/>
    <col min="3337" max="3337" width="15.42578125" style="9" customWidth="1"/>
    <col min="3338" max="3338" width="20.140625" style="9" customWidth="1"/>
    <col min="3339" max="3339" width="18.28515625" style="9" customWidth="1"/>
    <col min="3340" max="3340" width="13.85546875" style="9" customWidth="1"/>
    <col min="3341" max="3341" width="41.42578125" style="9" bestFit="1" customWidth="1"/>
    <col min="3342" max="3586" width="11.42578125" style="9"/>
    <col min="3587" max="3587" width="13.5703125" style="9" customWidth="1"/>
    <col min="3588" max="3588" width="16.28515625" style="9" customWidth="1"/>
    <col min="3589" max="3590" width="11.42578125" style="9"/>
    <col min="3591" max="3591" width="12.85546875" style="9" customWidth="1"/>
    <col min="3592" max="3592" width="13" style="9" customWidth="1"/>
    <col min="3593" max="3593" width="15.42578125" style="9" customWidth="1"/>
    <col min="3594" max="3594" width="20.140625" style="9" customWidth="1"/>
    <col min="3595" max="3595" width="18.28515625" style="9" customWidth="1"/>
    <col min="3596" max="3596" width="13.85546875" style="9" customWidth="1"/>
    <col min="3597" max="3597" width="41.42578125" style="9" bestFit="1" customWidth="1"/>
    <col min="3598" max="3842" width="11.42578125" style="9"/>
    <col min="3843" max="3843" width="13.5703125" style="9" customWidth="1"/>
    <col min="3844" max="3844" width="16.28515625" style="9" customWidth="1"/>
    <col min="3845" max="3846" width="11.42578125" style="9"/>
    <col min="3847" max="3847" width="12.85546875" style="9" customWidth="1"/>
    <col min="3848" max="3848" width="13" style="9" customWidth="1"/>
    <col min="3849" max="3849" width="15.42578125" style="9" customWidth="1"/>
    <col min="3850" max="3850" width="20.140625" style="9" customWidth="1"/>
    <col min="3851" max="3851" width="18.28515625" style="9" customWidth="1"/>
    <col min="3852" max="3852" width="13.85546875" style="9" customWidth="1"/>
    <col min="3853" max="3853" width="41.42578125" style="9" bestFit="1" customWidth="1"/>
    <col min="3854" max="4098" width="11.42578125" style="9"/>
    <col min="4099" max="4099" width="13.5703125" style="9" customWidth="1"/>
    <col min="4100" max="4100" width="16.28515625" style="9" customWidth="1"/>
    <col min="4101" max="4102" width="11.42578125" style="9"/>
    <col min="4103" max="4103" width="12.85546875" style="9" customWidth="1"/>
    <col min="4104" max="4104" width="13" style="9" customWidth="1"/>
    <col min="4105" max="4105" width="15.42578125" style="9" customWidth="1"/>
    <col min="4106" max="4106" width="20.140625" style="9" customWidth="1"/>
    <col min="4107" max="4107" width="18.28515625" style="9" customWidth="1"/>
    <col min="4108" max="4108" width="13.85546875" style="9" customWidth="1"/>
    <col min="4109" max="4109" width="41.42578125" style="9" bestFit="1" customWidth="1"/>
    <col min="4110" max="4354" width="11.42578125" style="9"/>
    <col min="4355" max="4355" width="13.5703125" style="9" customWidth="1"/>
    <col min="4356" max="4356" width="16.28515625" style="9" customWidth="1"/>
    <col min="4357" max="4358" width="11.42578125" style="9"/>
    <col min="4359" max="4359" width="12.85546875" style="9" customWidth="1"/>
    <col min="4360" max="4360" width="13" style="9" customWidth="1"/>
    <col min="4361" max="4361" width="15.42578125" style="9" customWidth="1"/>
    <col min="4362" max="4362" width="20.140625" style="9" customWidth="1"/>
    <col min="4363" max="4363" width="18.28515625" style="9" customWidth="1"/>
    <col min="4364" max="4364" width="13.85546875" style="9" customWidth="1"/>
    <col min="4365" max="4365" width="41.42578125" style="9" bestFit="1" customWidth="1"/>
    <col min="4366" max="4610" width="11.42578125" style="9"/>
    <col min="4611" max="4611" width="13.5703125" style="9" customWidth="1"/>
    <col min="4612" max="4612" width="16.28515625" style="9" customWidth="1"/>
    <col min="4613" max="4614" width="11.42578125" style="9"/>
    <col min="4615" max="4615" width="12.85546875" style="9" customWidth="1"/>
    <col min="4616" max="4616" width="13" style="9" customWidth="1"/>
    <col min="4617" max="4617" width="15.42578125" style="9" customWidth="1"/>
    <col min="4618" max="4618" width="20.140625" style="9" customWidth="1"/>
    <col min="4619" max="4619" width="18.28515625" style="9" customWidth="1"/>
    <col min="4620" max="4620" width="13.85546875" style="9" customWidth="1"/>
    <col min="4621" max="4621" width="41.42578125" style="9" bestFit="1" customWidth="1"/>
    <col min="4622" max="4866" width="11.42578125" style="9"/>
    <col min="4867" max="4867" width="13.5703125" style="9" customWidth="1"/>
    <col min="4868" max="4868" width="16.28515625" style="9" customWidth="1"/>
    <col min="4869" max="4870" width="11.42578125" style="9"/>
    <col min="4871" max="4871" width="12.85546875" style="9" customWidth="1"/>
    <col min="4872" max="4872" width="13" style="9" customWidth="1"/>
    <col min="4873" max="4873" width="15.42578125" style="9" customWidth="1"/>
    <col min="4874" max="4874" width="20.140625" style="9" customWidth="1"/>
    <col min="4875" max="4875" width="18.28515625" style="9" customWidth="1"/>
    <col min="4876" max="4876" width="13.85546875" style="9" customWidth="1"/>
    <col min="4877" max="4877" width="41.42578125" style="9" bestFit="1" customWidth="1"/>
    <col min="4878" max="5122" width="11.42578125" style="9"/>
    <col min="5123" max="5123" width="13.5703125" style="9" customWidth="1"/>
    <col min="5124" max="5124" width="16.28515625" style="9" customWidth="1"/>
    <col min="5125" max="5126" width="11.42578125" style="9"/>
    <col min="5127" max="5127" width="12.85546875" style="9" customWidth="1"/>
    <col min="5128" max="5128" width="13" style="9" customWidth="1"/>
    <col min="5129" max="5129" width="15.42578125" style="9" customWidth="1"/>
    <col min="5130" max="5130" width="20.140625" style="9" customWidth="1"/>
    <col min="5131" max="5131" width="18.28515625" style="9" customWidth="1"/>
    <col min="5132" max="5132" width="13.85546875" style="9" customWidth="1"/>
    <col min="5133" max="5133" width="41.42578125" style="9" bestFit="1" customWidth="1"/>
    <col min="5134" max="5378" width="11.42578125" style="9"/>
    <col min="5379" max="5379" width="13.5703125" style="9" customWidth="1"/>
    <col min="5380" max="5380" width="16.28515625" style="9" customWidth="1"/>
    <col min="5381" max="5382" width="11.42578125" style="9"/>
    <col min="5383" max="5383" width="12.85546875" style="9" customWidth="1"/>
    <col min="5384" max="5384" width="13" style="9" customWidth="1"/>
    <col min="5385" max="5385" width="15.42578125" style="9" customWidth="1"/>
    <col min="5386" max="5386" width="20.140625" style="9" customWidth="1"/>
    <col min="5387" max="5387" width="18.28515625" style="9" customWidth="1"/>
    <col min="5388" max="5388" width="13.85546875" style="9" customWidth="1"/>
    <col min="5389" max="5389" width="41.42578125" style="9" bestFit="1" customWidth="1"/>
    <col min="5390" max="5634" width="11.42578125" style="9"/>
    <col min="5635" max="5635" width="13.5703125" style="9" customWidth="1"/>
    <col min="5636" max="5636" width="16.28515625" style="9" customWidth="1"/>
    <col min="5637" max="5638" width="11.42578125" style="9"/>
    <col min="5639" max="5639" width="12.85546875" style="9" customWidth="1"/>
    <col min="5640" max="5640" width="13" style="9" customWidth="1"/>
    <col min="5641" max="5641" width="15.42578125" style="9" customWidth="1"/>
    <col min="5642" max="5642" width="20.140625" style="9" customWidth="1"/>
    <col min="5643" max="5643" width="18.28515625" style="9" customWidth="1"/>
    <col min="5644" max="5644" width="13.85546875" style="9" customWidth="1"/>
    <col min="5645" max="5645" width="41.42578125" style="9" bestFit="1" customWidth="1"/>
    <col min="5646" max="5890" width="11.42578125" style="9"/>
    <col min="5891" max="5891" width="13.5703125" style="9" customWidth="1"/>
    <col min="5892" max="5892" width="16.28515625" style="9" customWidth="1"/>
    <col min="5893" max="5894" width="11.42578125" style="9"/>
    <col min="5895" max="5895" width="12.85546875" style="9" customWidth="1"/>
    <col min="5896" max="5896" width="13" style="9" customWidth="1"/>
    <col min="5897" max="5897" width="15.42578125" style="9" customWidth="1"/>
    <col min="5898" max="5898" width="20.140625" style="9" customWidth="1"/>
    <col min="5899" max="5899" width="18.28515625" style="9" customWidth="1"/>
    <col min="5900" max="5900" width="13.85546875" style="9" customWidth="1"/>
    <col min="5901" max="5901" width="41.42578125" style="9" bestFit="1" customWidth="1"/>
    <col min="5902" max="6146" width="11.42578125" style="9"/>
    <col min="6147" max="6147" width="13.5703125" style="9" customWidth="1"/>
    <col min="6148" max="6148" width="16.28515625" style="9" customWidth="1"/>
    <col min="6149" max="6150" width="11.42578125" style="9"/>
    <col min="6151" max="6151" width="12.85546875" style="9" customWidth="1"/>
    <col min="6152" max="6152" width="13" style="9" customWidth="1"/>
    <col min="6153" max="6153" width="15.42578125" style="9" customWidth="1"/>
    <col min="6154" max="6154" width="20.140625" style="9" customWidth="1"/>
    <col min="6155" max="6155" width="18.28515625" style="9" customWidth="1"/>
    <col min="6156" max="6156" width="13.85546875" style="9" customWidth="1"/>
    <col min="6157" max="6157" width="41.42578125" style="9" bestFit="1" customWidth="1"/>
    <col min="6158" max="6402" width="11.42578125" style="9"/>
    <col min="6403" max="6403" width="13.5703125" style="9" customWidth="1"/>
    <col min="6404" max="6404" width="16.28515625" style="9" customWidth="1"/>
    <col min="6405" max="6406" width="11.42578125" style="9"/>
    <col min="6407" max="6407" width="12.85546875" style="9" customWidth="1"/>
    <col min="6408" max="6408" width="13" style="9" customWidth="1"/>
    <col min="6409" max="6409" width="15.42578125" style="9" customWidth="1"/>
    <col min="6410" max="6410" width="20.140625" style="9" customWidth="1"/>
    <col min="6411" max="6411" width="18.28515625" style="9" customWidth="1"/>
    <col min="6412" max="6412" width="13.85546875" style="9" customWidth="1"/>
    <col min="6413" max="6413" width="41.42578125" style="9" bestFit="1" customWidth="1"/>
    <col min="6414" max="6658" width="11.42578125" style="9"/>
    <col min="6659" max="6659" width="13.5703125" style="9" customWidth="1"/>
    <col min="6660" max="6660" width="16.28515625" style="9" customWidth="1"/>
    <col min="6661" max="6662" width="11.42578125" style="9"/>
    <col min="6663" max="6663" width="12.85546875" style="9" customWidth="1"/>
    <col min="6664" max="6664" width="13" style="9" customWidth="1"/>
    <col min="6665" max="6665" width="15.42578125" style="9" customWidth="1"/>
    <col min="6666" max="6666" width="20.140625" style="9" customWidth="1"/>
    <col min="6667" max="6667" width="18.28515625" style="9" customWidth="1"/>
    <col min="6668" max="6668" width="13.85546875" style="9" customWidth="1"/>
    <col min="6669" max="6669" width="41.42578125" style="9" bestFit="1" customWidth="1"/>
    <col min="6670" max="6914" width="11.42578125" style="9"/>
    <col min="6915" max="6915" width="13.5703125" style="9" customWidth="1"/>
    <col min="6916" max="6916" width="16.28515625" style="9" customWidth="1"/>
    <col min="6917" max="6918" width="11.42578125" style="9"/>
    <col min="6919" max="6919" width="12.85546875" style="9" customWidth="1"/>
    <col min="6920" max="6920" width="13" style="9" customWidth="1"/>
    <col min="6921" max="6921" width="15.42578125" style="9" customWidth="1"/>
    <col min="6922" max="6922" width="20.140625" style="9" customWidth="1"/>
    <col min="6923" max="6923" width="18.28515625" style="9" customWidth="1"/>
    <col min="6924" max="6924" width="13.85546875" style="9" customWidth="1"/>
    <col min="6925" max="6925" width="41.42578125" style="9" bestFit="1" customWidth="1"/>
    <col min="6926" max="7170" width="11.42578125" style="9"/>
    <col min="7171" max="7171" width="13.5703125" style="9" customWidth="1"/>
    <col min="7172" max="7172" width="16.28515625" style="9" customWidth="1"/>
    <col min="7173" max="7174" width="11.42578125" style="9"/>
    <col min="7175" max="7175" width="12.85546875" style="9" customWidth="1"/>
    <col min="7176" max="7176" width="13" style="9" customWidth="1"/>
    <col min="7177" max="7177" width="15.42578125" style="9" customWidth="1"/>
    <col min="7178" max="7178" width="20.140625" style="9" customWidth="1"/>
    <col min="7179" max="7179" width="18.28515625" style="9" customWidth="1"/>
    <col min="7180" max="7180" width="13.85546875" style="9" customWidth="1"/>
    <col min="7181" max="7181" width="41.42578125" style="9" bestFit="1" customWidth="1"/>
    <col min="7182" max="7426" width="11.42578125" style="9"/>
    <col min="7427" max="7427" width="13.5703125" style="9" customWidth="1"/>
    <col min="7428" max="7428" width="16.28515625" style="9" customWidth="1"/>
    <col min="7429" max="7430" width="11.42578125" style="9"/>
    <col min="7431" max="7431" width="12.85546875" style="9" customWidth="1"/>
    <col min="7432" max="7432" width="13" style="9" customWidth="1"/>
    <col min="7433" max="7433" width="15.42578125" style="9" customWidth="1"/>
    <col min="7434" max="7434" width="20.140625" style="9" customWidth="1"/>
    <col min="7435" max="7435" width="18.28515625" style="9" customWidth="1"/>
    <col min="7436" max="7436" width="13.85546875" style="9" customWidth="1"/>
    <col min="7437" max="7437" width="41.42578125" style="9" bestFit="1" customWidth="1"/>
    <col min="7438" max="7682" width="11.42578125" style="9"/>
    <col min="7683" max="7683" width="13.5703125" style="9" customWidth="1"/>
    <col min="7684" max="7684" width="16.28515625" style="9" customWidth="1"/>
    <col min="7685" max="7686" width="11.42578125" style="9"/>
    <col min="7687" max="7687" width="12.85546875" style="9" customWidth="1"/>
    <col min="7688" max="7688" width="13" style="9" customWidth="1"/>
    <col min="7689" max="7689" width="15.42578125" style="9" customWidth="1"/>
    <col min="7690" max="7690" width="20.140625" style="9" customWidth="1"/>
    <col min="7691" max="7691" width="18.28515625" style="9" customWidth="1"/>
    <col min="7692" max="7692" width="13.85546875" style="9" customWidth="1"/>
    <col min="7693" max="7693" width="41.42578125" style="9" bestFit="1" customWidth="1"/>
    <col min="7694" max="7938" width="11.42578125" style="9"/>
    <col min="7939" max="7939" width="13.5703125" style="9" customWidth="1"/>
    <col min="7940" max="7940" width="16.28515625" style="9" customWidth="1"/>
    <col min="7941" max="7942" width="11.42578125" style="9"/>
    <col min="7943" max="7943" width="12.85546875" style="9" customWidth="1"/>
    <col min="7944" max="7944" width="13" style="9" customWidth="1"/>
    <col min="7945" max="7945" width="15.42578125" style="9" customWidth="1"/>
    <col min="7946" max="7946" width="20.140625" style="9" customWidth="1"/>
    <col min="7947" max="7947" width="18.28515625" style="9" customWidth="1"/>
    <col min="7948" max="7948" width="13.85546875" style="9" customWidth="1"/>
    <col min="7949" max="7949" width="41.42578125" style="9" bestFit="1" customWidth="1"/>
    <col min="7950" max="8194" width="11.42578125" style="9"/>
    <col min="8195" max="8195" width="13.5703125" style="9" customWidth="1"/>
    <col min="8196" max="8196" width="16.28515625" style="9" customWidth="1"/>
    <col min="8197" max="8198" width="11.42578125" style="9"/>
    <col min="8199" max="8199" width="12.85546875" style="9" customWidth="1"/>
    <col min="8200" max="8200" width="13" style="9" customWidth="1"/>
    <col min="8201" max="8201" width="15.42578125" style="9" customWidth="1"/>
    <col min="8202" max="8202" width="20.140625" style="9" customWidth="1"/>
    <col min="8203" max="8203" width="18.28515625" style="9" customWidth="1"/>
    <col min="8204" max="8204" width="13.85546875" style="9" customWidth="1"/>
    <col min="8205" max="8205" width="41.42578125" style="9" bestFit="1" customWidth="1"/>
    <col min="8206" max="8450" width="11.42578125" style="9"/>
    <col min="8451" max="8451" width="13.5703125" style="9" customWidth="1"/>
    <col min="8452" max="8452" width="16.28515625" style="9" customWidth="1"/>
    <col min="8453" max="8454" width="11.42578125" style="9"/>
    <col min="8455" max="8455" width="12.85546875" style="9" customWidth="1"/>
    <col min="8456" max="8456" width="13" style="9" customWidth="1"/>
    <col min="8457" max="8457" width="15.42578125" style="9" customWidth="1"/>
    <col min="8458" max="8458" width="20.140625" style="9" customWidth="1"/>
    <col min="8459" max="8459" width="18.28515625" style="9" customWidth="1"/>
    <col min="8460" max="8460" width="13.85546875" style="9" customWidth="1"/>
    <col min="8461" max="8461" width="41.42578125" style="9" bestFit="1" customWidth="1"/>
    <col min="8462" max="8706" width="11.42578125" style="9"/>
    <col min="8707" max="8707" width="13.5703125" style="9" customWidth="1"/>
    <col min="8708" max="8708" width="16.28515625" style="9" customWidth="1"/>
    <col min="8709" max="8710" width="11.42578125" style="9"/>
    <col min="8711" max="8711" width="12.85546875" style="9" customWidth="1"/>
    <col min="8712" max="8712" width="13" style="9" customWidth="1"/>
    <col min="8713" max="8713" width="15.42578125" style="9" customWidth="1"/>
    <col min="8714" max="8714" width="20.140625" style="9" customWidth="1"/>
    <col min="8715" max="8715" width="18.28515625" style="9" customWidth="1"/>
    <col min="8716" max="8716" width="13.85546875" style="9" customWidth="1"/>
    <col min="8717" max="8717" width="41.42578125" style="9" bestFit="1" customWidth="1"/>
    <col min="8718" max="8962" width="11.42578125" style="9"/>
    <col min="8963" max="8963" width="13.5703125" style="9" customWidth="1"/>
    <col min="8964" max="8964" width="16.28515625" style="9" customWidth="1"/>
    <col min="8965" max="8966" width="11.42578125" style="9"/>
    <col min="8967" max="8967" width="12.85546875" style="9" customWidth="1"/>
    <col min="8968" max="8968" width="13" style="9" customWidth="1"/>
    <col min="8969" max="8969" width="15.42578125" style="9" customWidth="1"/>
    <col min="8970" max="8970" width="20.140625" style="9" customWidth="1"/>
    <col min="8971" max="8971" width="18.28515625" style="9" customWidth="1"/>
    <col min="8972" max="8972" width="13.85546875" style="9" customWidth="1"/>
    <col min="8973" max="8973" width="41.42578125" style="9" bestFit="1" customWidth="1"/>
    <col min="8974" max="9218" width="11.42578125" style="9"/>
    <col min="9219" max="9219" width="13.5703125" style="9" customWidth="1"/>
    <col min="9220" max="9220" width="16.28515625" style="9" customWidth="1"/>
    <col min="9221" max="9222" width="11.42578125" style="9"/>
    <col min="9223" max="9223" width="12.85546875" style="9" customWidth="1"/>
    <col min="9224" max="9224" width="13" style="9" customWidth="1"/>
    <col min="9225" max="9225" width="15.42578125" style="9" customWidth="1"/>
    <col min="9226" max="9226" width="20.140625" style="9" customWidth="1"/>
    <col min="9227" max="9227" width="18.28515625" style="9" customWidth="1"/>
    <col min="9228" max="9228" width="13.85546875" style="9" customWidth="1"/>
    <col min="9229" max="9229" width="41.42578125" style="9" bestFit="1" customWidth="1"/>
    <col min="9230" max="9474" width="11.42578125" style="9"/>
    <col min="9475" max="9475" width="13.5703125" style="9" customWidth="1"/>
    <col min="9476" max="9476" width="16.28515625" style="9" customWidth="1"/>
    <col min="9477" max="9478" width="11.42578125" style="9"/>
    <col min="9479" max="9479" width="12.85546875" style="9" customWidth="1"/>
    <col min="9480" max="9480" width="13" style="9" customWidth="1"/>
    <col min="9481" max="9481" width="15.42578125" style="9" customWidth="1"/>
    <col min="9482" max="9482" width="20.140625" style="9" customWidth="1"/>
    <col min="9483" max="9483" width="18.28515625" style="9" customWidth="1"/>
    <col min="9484" max="9484" width="13.85546875" style="9" customWidth="1"/>
    <col min="9485" max="9485" width="41.42578125" style="9" bestFit="1" customWidth="1"/>
    <col min="9486" max="9730" width="11.42578125" style="9"/>
    <col min="9731" max="9731" width="13.5703125" style="9" customWidth="1"/>
    <col min="9732" max="9732" width="16.28515625" style="9" customWidth="1"/>
    <col min="9733" max="9734" width="11.42578125" style="9"/>
    <col min="9735" max="9735" width="12.85546875" style="9" customWidth="1"/>
    <col min="9736" max="9736" width="13" style="9" customWidth="1"/>
    <col min="9737" max="9737" width="15.42578125" style="9" customWidth="1"/>
    <col min="9738" max="9738" width="20.140625" style="9" customWidth="1"/>
    <col min="9739" max="9739" width="18.28515625" style="9" customWidth="1"/>
    <col min="9740" max="9740" width="13.85546875" style="9" customWidth="1"/>
    <col min="9741" max="9741" width="41.42578125" style="9" bestFit="1" customWidth="1"/>
    <col min="9742" max="9986" width="11.42578125" style="9"/>
    <col min="9987" max="9987" width="13.5703125" style="9" customWidth="1"/>
    <col min="9988" max="9988" width="16.28515625" style="9" customWidth="1"/>
    <col min="9989" max="9990" width="11.42578125" style="9"/>
    <col min="9991" max="9991" width="12.85546875" style="9" customWidth="1"/>
    <col min="9992" max="9992" width="13" style="9" customWidth="1"/>
    <col min="9993" max="9993" width="15.42578125" style="9" customWidth="1"/>
    <col min="9994" max="9994" width="20.140625" style="9" customWidth="1"/>
    <col min="9995" max="9995" width="18.28515625" style="9" customWidth="1"/>
    <col min="9996" max="9996" width="13.85546875" style="9" customWidth="1"/>
    <col min="9997" max="9997" width="41.42578125" style="9" bestFit="1" customWidth="1"/>
    <col min="9998" max="10242" width="11.42578125" style="9"/>
    <col min="10243" max="10243" width="13.5703125" style="9" customWidth="1"/>
    <col min="10244" max="10244" width="16.28515625" style="9" customWidth="1"/>
    <col min="10245" max="10246" width="11.42578125" style="9"/>
    <col min="10247" max="10247" width="12.85546875" style="9" customWidth="1"/>
    <col min="10248" max="10248" width="13" style="9" customWidth="1"/>
    <col min="10249" max="10249" width="15.42578125" style="9" customWidth="1"/>
    <col min="10250" max="10250" width="20.140625" style="9" customWidth="1"/>
    <col min="10251" max="10251" width="18.28515625" style="9" customWidth="1"/>
    <col min="10252" max="10252" width="13.85546875" style="9" customWidth="1"/>
    <col min="10253" max="10253" width="41.42578125" style="9" bestFit="1" customWidth="1"/>
    <col min="10254" max="10498" width="11.42578125" style="9"/>
    <col min="10499" max="10499" width="13.5703125" style="9" customWidth="1"/>
    <col min="10500" max="10500" width="16.28515625" style="9" customWidth="1"/>
    <col min="10501" max="10502" width="11.42578125" style="9"/>
    <col min="10503" max="10503" width="12.85546875" style="9" customWidth="1"/>
    <col min="10504" max="10504" width="13" style="9" customWidth="1"/>
    <col min="10505" max="10505" width="15.42578125" style="9" customWidth="1"/>
    <col min="10506" max="10506" width="20.140625" style="9" customWidth="1"/>
    <col min="10507" max="10507" width="18.28515625" style="9" customWidth="1"/>
    <col min="10508" max="10508" width="13.85546875" style="9" customWidth="1"/>
    <col min="10509" max="10509" width="41.42578125" style="9" bestFit="1" customWidth="1"/>
    <col min="10510" max="10754" width="11.42578125" style="9"/>
    <col min="10755" max="10755" width="13.5703125" style="9" customWidth="1"/>
    <col min="10756" max="10756" width="16.28515625" style="9" customWidth="1"/>
    <col min="10757" max="10758" width="11.42578125" style="9"/>
    <col min="10759" max="10759" width="12.85546875" style="9" customWidth="1"/>
    <col min="10760" max="10760" width="13" style="9" customWidth="1"/>
    <col min="10761" max="10761" width="15.42578125" style="9" customWidth="1"/>
    <col min="10762" max="10762" width="20.140625" style="9" customWidth="1"/>
    <col min="10763" max="10763" width="18.28515625" style="9" customWidth="1"/>
    <col min="10764" max="10764" width="13.85546875" style="9" customWidth="1"/>
    <col min="10765" max="10765" width="41.42578125" style="9" bestFit="1" customWidth="1"/>
    <col min="10766" max="11010" width="11.42578125" style="9"/>
    <col min="11011" max="11011" width="13.5703125" style="9" customWidth="1"/>
    <col min="11012" max="11012" width="16.28515625" style="9" customWidth="1"/>
    <col min="11013" max="11014" width="11.42578125" style="9"/>
    <col min="11015" max="11015" width="12.85546875" style="9" customWidth="1"/>
    <col min="11016" max="11016" width="13" style="9" customWidth="1"/>
    <col min="11017" max="11017" width="15.42578125" style="9" customWidth="1"/>
    <col min="11018" max="11018" width="20.140625" style="9" customWidth="1"/>
    <col min="11019" max="11019" width="18.28515625" style="9" customWidth="1"/>
    <col min="11020" max="11020" width="13.85546875" style="9" customWidth="1"/>
    <col min="11021" max="11021" width="41.42578125" style="9" bestFit="1" customWidth="1"/>
    <col min="11022" max="11266" width="11.42578125" style="9"/>
    <col min="11267" max="11267" width="13.5703125" style="9" customWidth="1"/>
    <col min="11268" max="11268" width="16.28515625" style="9" customWidth="1"/>
    <col min="11269" max="11270" width="11.42578125" style="9"/>
    <col min="11271" max="11271" width="12.85546875" style="9" customWidth="1"/>
    <col min="11272" max="11272" width="13" style="9" customWidth="1"/>
    <col min="11273" max="11273" width="15.42578125" style="9" customWidth="1"/>
    <col min="11274" max="11274" width="20.140625" style="9" customWidth="1"/>
    <col min="11275" max="11275" width="18.28515625" style="9" customWidth="1"/>
    <col min="11276" max="11276" width="13.85546875" style="9" customWidth="1"/>
    <col min="11277" max="11277" width="41.42578125" style="9" bestFit="1" customWidth="1"/>
    <col min="11278" max="11522" width="11.42578125" style="9"/>
    <col min="11523" max="11523" width="13.5703125" style="9" customWidth="1"/>
    <col min="11524" max="11524" width="16.28515625" style="9" customWidth="1"/>
    <col min="11525" max="11526" width="11.42578125" style="9"/>
    <col min="11527" max="11527" width="12.85546875" style="9" customWidth="1"/>
    <col min="11528" max="11528" width="13" style="9" customWidth="1"/>
    <col min="11529" max="11529" width="15.42578125" style="9" customWidth="1"/>
    <col min="11530" max="11530" width="20.140625" style="9" customWidth="1"/>
    <col min="11531" max="11531" width="18.28515625" style="9" customWidth="1"/>
    <col min="11532" max="11532" width="13.85546875" style="9" customWidth="1"/>
    <col min="11533" max="11533" width="41.42578125" style="9" bestFit="1" customWidth="1"/>
    <col min="11534" max="11778" width="11.42578125" style="9"/>
    <col min="11779" max="11779" width="13.5703125" style="9" customWidth="1"/>
    <col min="11780" max="11780" width="16.28515625" style="9" customWidth="1"/>
    <col min="11781" max="11782" width="11.42578125" style="9"/>
    <col min="11783" max="11783" width="12.85546875" style="9" customWidth="1"/>
    <col min="11784" max="11784" width="13" style="9" customWidth="1"/>
    <col min="11785" max="11785" width="15.42578125" style="9" customWidth="1"/>
    <col min="11786" max="11786" width="20.140625" style="9" customWidth="1"/>
    <col min="11787" max="11787" width="18.28515625" style="9" customWidth="1"/>
    <col min="11788" max="11788" width="13.85546875" style="9" customWidth="1"/>
    <col min="11789" max="11789" width="41.42578125" style="9" bestFit="1" customWidth="1"/>
    <col min="11790" max="12034" width="11.42578125" style="9"/>
    <col min="12035" max="12035" width="13.5703125" style="9" customWidth="1"/>
    <col min="12036" max="12036" width="16.28515625" style="9" customWidth="1"/>
    <col min="12037" max="12038" width="11.42578125" style="9"/>
    <col min="12039" max="12039" width="12.85546875" style="9" customWidth="1"/>
    <col min="12040" max="12040" width="13" style="9" customWidth="1"/>
    <col min="12041" max="12041" width="15.42578125" style="9" customWidth="1"/>
    <col min="12042" max="12042" width="20.140625" style="9" customWidth="1"/>
    <col min="12043" max="12043" width="18.28515625" style="9" customWidth="1"/>
    <col min="12044" max="12044" width="13.85546875" style="9" customWidth="1"/>
    <col min="12045" max="12045" width="41.42578125" style="9" bestFit="1" customWidth="1"/>
    <col min="12046" max="12290" width="11.42578125" style="9"/>
    <col min="12291" max="12291" width="13.5703125" style="9" customWidth="1"/>
    <col min="12292" max="12292" width="16.28515625" style="9" customWidth="1"/>
    <col min="12293" max="12294" width="11.42578125" style="9"/>
    <col min="12295" max="12295" width="12.85546875" style="9" customWidth="1"/>
    <col min="12296" max="12296" width="13" style="9" customWidth="1"/>
    <col min="12297" max="12297" width="15.42578125" style="9" customWidth="1"/>
    <col min="12298" max="12298" width="20.140625" style="9" customWidth="1"/>
    <col min="12299" max="12299" width="18.28515625" style="9" customWidth="1"/>
    <col min="12300" max="12300" width="13.85546875" style="9" customWidth="1"/>
    <col min="12301" max="12301" width="41.42578125" style="9" bestFit="1" customWidth="1"/>
    <col min="12302" max="12546" width="11.42578125" style="9"/>
    <col min="12547" max="12547" width="13.5703125" style="9" customWidth="1"/>
    <col min="12548" max="12548" width="16.28515625" style="9" customWidth="1"/>
    <col min="12549" max="12550" width="11.42578125" style="9"/>
    <col min="12551" max="12551" width="12.85546875" style="9" customWidth="1"/>
    <col min="12552" max="12552" width="13" style="9" customWidth="1"/>
    <col min="12553" max="12553" width="15.42578125" style="9" customWidth="1"/>
    <col min="12554" max="12554" width="20.140625" style="9" customWidth="1"/>
    <col min="12555" max="12555" width="18.28515625" style="9" customWidth="1"/>
    <col min="12556" max="12556" width="13.85546875" style="9" customWidth="1"/>
    <col min="12557" max="12557" width="41.42578125" style="9" bestFit="1" customWidth="1"/>
    <col min="12558" max="12802" width="11.42578125" style="9"/>
    <col min="12803" max="12803" width="13.5703125" style="9" customWidth="1"/>
    <col min="12804" max="12804" width="16.28515625" style="9" customWidth="1"/>
    <col min="12805" max="12806" width="11.42578125" style="9"/>
    <col min="12807" max="12807" width="12.85546875" style="9" customWidth="1"/>
    <col min="12808" max="12808" width="13" style="9" customWidth="1"/>
    <col min="12809" max="12809" width="15.42578125" style="9" customWidth="1"/>
    <col min="12810" max="12810" width="20.140625" style="9" customWidth="1"/>
    <col min="12811" max="12811" width="18.28515625" style="9" customWidth="1"/>
    <col min="12812" max="12812" width="13.85546875" style="9" customWidth="1"/>
    <col min="12813" max="12813" width="41.42578125" style="9" bestFit="1" customWidth="1"/>
    <col min="12814" max="13058" width="11.42578125" style="9"/>
    <col min="13059" max="13059" width="13.5703125" style="9" customWidth="1"/>
    <col min="13060" max="13060" width="16.28515625" style="9" customWidth="1"/>
    <col min="13061" max="13062" width="11.42578125" style="9"/>
    <col min="13063" max="13063" width="12.85546875" style="9" customWidth="1"/>
    <col min="13064" max="13064" width="13" style="9" customWidth="1"/>
    <col min="13065" max="13065" width="15.42578125" style="9" customWidth="1"/>
    <col min="13066" max="13066" width="20.140625" style="9" customWidth="1"/>
    <col min="13067" max="13067" width="18.28515625" style="9" customWidth="1"/>
    <col min="13068" max="13068" width="13.85546875" style="9" customWidth="1"/>
    <col min="13069" max="13069" width="41.42578125" style="9" bestFit="1" customWidth="1"/>
    <col min="13070" max="13314" width="11.42578125" style="9"/>
    <col min="13315" max="13315" width="13.5703125" style="9" customWidth="1"/>
    <col min="13316" max="13316" width="16.28515625" style="9" customWidth="1"/>
    <col min="13317" max="13318" width="11.42578125" style="9"/>
    <col min="13319" max="13319" width="12.85546875" style="9" customWidth="1"/>
    <col min="13320" max="13320" width="13" style="9" customWidth="1"/>
    <col min="13321" max="13321" width="15.42578125" style="9" customWidth="1"/>
    <col min="13322" max="13322" width="20.140625" style="9" customWidth="1"/>
    <col min="13323" max="13323" width="18.28515625" style="9" customWidth="1"/>
    <col min="13324" max="13324" width="13.85546875" style="9" customWidth="1"/>
    <col min="13325" max="13325" width="41.42578125" style="9" bestFit="1" customWidth="1"/>
    <col min="13326" max="13570" width="11.42578125" style="9"/>
    <col min="13571" max="13571" width="13.5703125" style="9" customWidth="1"/>
    <col min="13572" max="13572" width="16.28515625" style="9" customWidth="1"/>
    <col min="13573" max="13574" width="11.42578125" style="9"/>
    <col min="13575" max="13575" width="12.85546875" style="9" customWidth="1"/>
    <col min="13576" max="13576" width="13" style="9" customWidth="1"/>
    <col min="13577" max="13577" width="15.42578125" style="9" customWidth="1"/>
    <col min="13578" max="13578" width="20.140625" style="9" customWidth="1"/>
    <col min="13579" max="13579" width="18.28515625" style="9" customWidth="1"/>
    <col min="13580" max="13580" width="13.85546875" style="9" customWidth="1"/>
    <col min="13581" max="13581" width="41.42578125" style="9" bestFit="1" customWidth="1"/>
    <col min="13582" max="13826" width="11.42578125" style="9"/>
    <col min="13827" max="13827" width="13.5703125" style="9" customWidth="1"/>
    <col min="13828" max="13828" width="16.28515625" style="9" customWidth="1"/>
    <col min="13829" max="13830" width="11.42578125" style="9"/>
    <col min="13831" max="13831" width="12.85546875" style="9" customWidth="1"/>
    <col min="13832" max="13832" width="13" style="9" customWidth="1"/>
    <col min="13833" max="13833" width="15.42578125" style="9" customWidth="1"/>
    <col min="13834" max="13834" width="20.140625" style="9" customWidth="1"/>
    <col min="13835" max="13835" width="18.28515625" style="9" customWidth="1"/>
    <col min="13836" max="13836" width="13.85546875" style="9" customWidth="1"/>
    <col min="13837" max="13837" width="41.42578125" style="9" bestFit="1" customWidth="1"/>
    <col min="13838" max="14082" width="11.42578125" style="9"/>
    <col min="14083" max="14083" width="13.5703125" style="9" customWidth="1"/>
    <col min="14084" max="14084" width="16.28515625" style="9" customWidth="1"/>
    <col min="14085" max="14086" width="11.42578125" style="9"/>
    <col min="14087" max="14087" width="12.85546875" style="9" customWidth="1"/>
    <col min="14088" max="14088" width="13" style="9" customWidth="1"/>
    <col min="14089" max="14089" width="15.42578125" style="9" customWidth="1"/>
    <col min="14090" max="14090" width="20.140625" style="9" customWidth="1"/>
    <col min="14091" max="14091" width="18.28515625" style="9" customWidth="1"/>
    <col min="14092" max="14092" width="13.85546875" style="9" customWidth="1"/>
    <col min="14093" max="14093" width="41.42578125" style="9" bestFit="1" customWidth="1"/>
    <col min="14094" max="14338" width="11.42578125" style="9"/>
    <col min="14339" max="14339" width="13.5703125" style="9" customWidth="1"/>
    <col min="14340" max="14340" width="16.28515625" style="9" customWidth="1"/>
    <col min="14341" max="14342" width="11.42578125" style="9"/>
    <col min="14343" max="14343" width="12.85546875" style="9" customWidth="1"/>
    <col min="14344" max="14344" width="13" style="9" customWidth="1"/>
    <col min="14345" max="14345" width="15.42578125" style="9" customWidth="1"/>
    <col min="14346" max="14346" width="20.140625" style="9" customWidth="1"/>
    <col min="14347" max="14347" width="18.28515625" style="9" customWidth="1"/>
    <col min="14348" max="14348" width="13.85546875" style="9" customWidth="1"/>
    <col min="14349" max="14349" width="41.42578125" style="9" bestFit="1" customWidth="1"/>
    <col min="14350" max="14594" width="11.42578125" style="9"/>
    <col min="14595" max="14595" width="13.5703125" style="9" customWidth="1"/>
    <col min="14596" max="14596" width="16.28515625" style="9" customWidth="1"/>
    <col min="14597" max="14598" width="11.42578125" style="9"/>
    <col min="14599" max="14599" width="12.85546875" style="9" customWidth="1"/>
    <col min="14600" max="14600" width="13" style="9" customWidth="1"/>
    <col min="14601" max="14601" width="15.42578125" style="9" customWidth="1"/>
    <col min="14602" max="14602" width="20.140625" style="9" customWidth="1"/>
    <col min="14603" max="14603" width="18.28515625" style="9" customWidth="1"/>
    <col min="14604" max="14604" width="13.85546875" style="9" customWidth="1"/>
    <col min="14605" max="14605" width="41.42578125" style="9" bestFit="1" customWidth="1"/>
    <col min="14606" max="14850" width="11.42578125" style="9"/>
    <col min="14851" max="14851" width="13.5703125" style="9" customWidth="1"/>
    <col min="14852" max="14852" width="16.28515625" style="9" customWidth="1"/>
    <col min="14853" max="14854" width="11.42578125" style="9"/>
    <col min="14855" max="14855" width="12.85546875" style="9" customWidth="1"/>
    <col min="14856" max="14856" width="13" style="9" customWidth="1"/>
    <col min="14857" max="14857" width="15.42578125" style="9" customWidth="1"/>
    <col min="14858" max="14858" width="20.140625" style="9" customWidth="1"/>
    <col min="14859" max="14859" width="18.28515625" style="9" customWidth="1"/>
    <col min="14860" max="14860" width="13.85546875" style="9" customWidth="1"/>
    <col min="14861" max="14861" width="41.42578125" style="9" bestFit="1" customWidth="1"/>
    <col min="14862" max="15106" width="11.42578125" style="9"/>
    <col min="15107" max="15107" width="13.5703125" style="9" customWidth="1"/>
    <col min="15108" max="15108" width="16.28515625" style="9" customWidth="1"/>
    <col min="15109" max="15110" width="11.42578125" style="9"/>
    <col min="15111" max="15111" width="12.85546875" style="9" customWidth="1"/>
    <col min="15112" max="15112" width="13" style="9" customWidth="1"/>
    <col min="15113" max="15113" width="15.42578125" style="9" customWidth="1"/>
    <col min="15114" max="15114" width="20.140625" style="9" customWidth="1"/>
    <col min="15115" max="15115" width="18.28515625" style="9" customWidth="1"/>
    <col min="15116" max="15116" width="13.85546875" style="9" customWidth="1"/>
    <col min="15117" max="15117" width="41.42578125" style="9" bestFit="1" customWidth="1"/>
    <col min="15118" max="15362" width="11.42578125" style="9"/>
    <col min="15363" max="15363" width="13.5703125" style="9" customWidth="1"/>
    <col min="15364" max="15364" width="16.28515625" style="9" customWidth="1"/>
    <col min="15365" max="15366" width="11.42578125" style="9"/>
    <col min="15367" max="15367" width="12.85546875" style="9" customWidth="1"/>
    <col min="15368" max="15368" width="13" style="9" customWidth="1"/>
    <col min="15369" max="15369" width="15.42578125" style="9" customWidth="1"/>
    <col min="15370" max="15370" width="20.140625" style="9" customWidth="1"/>
    <col min="15371" max="15371" width="18.28515625" style="9" customWidth="1"/>
    <col min="15372" max="15372" width="13.85546875" style="9" customWidth="1"/>
    <col min="15373" max="15373" width="41.42578125" style="9" bestFit="1" customWidth="1"/>
    <col min="15374" max="15618" width="11.42578125" style="9"/>
    <col min="15619" max="15619" width="13.5703125" style="9" customWidth="1"/>
    <col min="15620" max="15620" width="16.28515625" style="9" customWidth="1"/>
    <col min="15621" max="15622" width="11.42578125" style="9"/>
    <col min="15623" max="15623" width="12.85546875" style="9" customWidth="1"/>
    <col min="15624" max="15624" width="13" style="9" customWidth="1"/>
    <col min="15625" max="15625" width="15.42578125" style="9" customWidth="1"/>
    <col min="15626" max="15626" width="20.140625" style="9" customWidth="1"/>
    <col min="15627" max="15627" width="18.28515625" style="9" customWidth="1"/>
    <col min="15628" max="15628" width="13.85546875" style="9" customWidth="1"/>
    <col min="15629" max="15629" width="41.42578125" style="9" bestFit="1" customWidth="1"/>
    <col min="15630" max="15874" width="11.42578125" style="9"/>
    <col min="15875" max="15875" width="13.5703125" style="9" customWidth="1"/>
    <col min="15876" max="15876" width="16.28515625" style="9" customWidth="1"/>
    <col min="15877" max="15878" width="11.42578125" style="9"/>
    <col min="15879" max="15879" width="12.85546875" style="9" customWidth="1"/>
    <col min="15880" max="15880" width="13" style="9" customWidth="1"/>
    <col min="15881" max="15881" width="15.42578125" style="9" customWidth="1"/>
    <col min="15882" max="15882" width="20.140625" style="9" customWidth="1"/>
    <col min="15883" max="15883" width="18.28515625" style="9" customWidth="1"/>
    <col min="15884" max="15884" width="13.85546875" style="9" customWidth="1"/>
    <col min="15885" max="15885" width="41.42578125" style="9" bestFit="1" customWidth="1"/>
    <col min="15886" max="16130" width="11.42578125" style="9"/>
    <col min="16131" max="16131" width="13.5703125" style="9" customWidth="1"/>
    <col min="16132" max="16132" width="16.28515625" style="9" customWidth="1"/>
    <col min="16133" max="16134" width="11.42578125" style="9"/>
    <col min="16135" max="16135" width="12.85546875" style="9" customWidth="1"/>
    <col min="16136" max="16136" width="13" style="9" customWidth="1"/>
    <col min="16137" max="16137" width="15.42578125" style="9" customWidth="1"/>
    <col min="16138" max="16138" width="20.140625" style="9" customWidth="1"/>
    <col min="16139" max="16139" width="18.28515625" style="9" customWidth="1"/>
    <col min="16140" max="16140" width="13.85546875" style="9" customWidth="1"/>
    <col min="16141" max="16141" width="41.42578125" style="9" bestFit="1" customWidth="1"/>
    <col min="16142" max="16384" width="11.42578125" style="9"/>
  </cols>
  <sheetData>
    <row r="1" spans="2:17" ht="33.75" customHeight="1" x14ac:dyDescent="0.25">
      <c r="B1" s="883"/>
      <c r="C1" s="883"/>
      <c r="D1" s="883"/>
      <c r="E1" s="883"/>
      <c r="F1" s="883"/>
      <c r="G1" s="883"/>
      <c r="H1" s="883"/>
      <c r="I1" s="883"/>
      <c r="J1" s="883"/>
      <c r="K1" s="883"/>
      <c r="L1" s="883"/>
      <c r="M1" s="883"/>
    </row>
    <row r="2" spans="2:17" s="23" customFormat="1" ht="25.5" customHeight="1" x14ac:dyDescent="0.35">
      <c r="B2" s="884" t="s">
        <v>12</v>
      </c>
      <c r="C2" s="884"/>
      <c r="D2" s="884"/>
      <c r="E2" s="884"/>
      <c r="F2" s="884"/>
      <c r="G2" s="884"/>
      <c r="H2" s="884"/>
      <c r="I2" s="884"/>
      <c r="J2" s="884"/>
      <c r="K2" s="884"/>
      <c r="L2" s="884"/>
      <c r="M2" s="884"/>
    </row>
    <row r="3" spans="2:17" ht="21.75" customHeight="1" x14ac:dyDescent="0.25">
      <c r="B3" s="885" t="s">
        <v>47</v>
      </c>
      <c r="C3" s="885"/>
      <c r="D3" s="885"/>
      <c r="E3" s="885"/>
      <c r="F3" s="885"/>
      <c r="G3" s="885"/>
      <c r="H3" s="885"/>
      <c r="I3" s="885"/>
      <c r="J3" s="885"/>
      <c r="K3" s="885"/>
      <c r="L3" s="885"/>
      <c r="M3" s="885"/>
    </row>
    <row r="4" spans="2:17" ht="20.25" customHeight="1" x14ac:dyDescent="0.25">
      <c r="B4" s="885" t="s">
        <v>837</v>
      </c>
      <c r="C4" s="885"/>
      <c r="D4" s="885"/>
      <c r="E4" s="885"/>
      <c r="F4" s="885"/>
      <c r="G4" s="885"/>
      <c r="H4" s="885"/>
      <c r="I4" s="885"/>
      <c r="J4" s="885"/>
      <c r="K4" s="885"/>
      <c r="L4" s="885"/>
      <c r="M4" s="885"/>
    </row>
    <row r="5" spans="2:17" ht="18.75" customHeight="1" x14ac:dyDescent="0.25">
      <c r="B5" s="885" t="s">
        <v>0</v>
      </c>
      <c r="C5" s="885"/>
      <c r="D5" s="885"/>
      <c r="E5" s="885"/>
      <c r="F5" s="885"/>
      <c r="G5" s="885"/>
      <c r="H5" s="885"/>
      <c r="I5" s="885"/>
      <c r="J5" s="885"/>
      <c r="K5" s="885"/>
      <c r="L5" s="885"/>
      <c r="M5" s="885"/>
    </row>
    <row r="6" spans="2:17" ht="23.25" customHeight="1" thickBot="1" x14ac:dyDescent="0.3">
      <c r="B6" s="10"/>
      <c r="C6" s="10"/>
      <c r="D6" s="10"/>
      <c r="E6" s="10"/>
      <c r="F6" s="10"/>
      <c r="G6" s="292"/>
      <c r="H6" s="292"/>
      <c r="I6" s="10"/>
      <c r="J6" s="10"/>
      <c r="K6" s="10"/>
      <c r="L6" s="10"/>
      <c r="M6" s="10"/>
    </row>
    <row r="7" spans="2:17" ht="30.75" customHeight="1" thickBot="1" x14ac:dyDescent="0.3">
      <c r="B7" s="474" t="s">
        <v>48</v>
      </c>
      <c r="C7" s="886" t="s">
        <v>49</v>
      </c>
      <c r="D7" s="886" t="s">
        <v>50</v>
      </c>
      <c r="E7" s="888" t="s">
        <v>51</v>
      </c>
      <c r="F7" s="889"/>
      <c r="G7" s="294" t="s">
        <v>526</v>
      </c>
      <c r="H7" s="476" t="s">
        <v>52</v>
      </c>
      <c r="I7" s="888" t="s">
        <v>53</v>
      </c>
      <c r="J7" s="890"/>
      <c r="K7" s="890"/>
      <c r="L7" s="889"/>
      <c r="M7" s="886" t="s">
        <v>54</v>
      </c>
    </row>
    <row r="8" spans="2:17" ht="31.5" customHeight="1" thickBot="1" x14ac:dyDescent="0.25">
      <c r="B8" s="449" t="s">
        <v>521</v>
      </c>
      <c r="C8" s="887"/>
      <c r="D8" s="887"/>
      <c r="E8" s="477" t="s">
        <v>55</v>
      </c>
      <c r="F8" s="468" t="s">
        <v>56</v>
      </c>
      <c r="G8" s="468" t="s">
        <v>57</v>
      </c>
      <c r="H8" s="475" t="s">
        <v>58</v>
      </c>
      <c r="I8" s="468" t="s">
        <v>59</v>
      </c>
      <c r="J8" s="449" t="s">
        <v>60</v>
      </c>
      <c r="K8" s="468" t="s">
        <v>61</v>
      </c>
      <c r="L8" s="468" t="s">
        <v>62</v>
      </c>
      <c r="M8" s="887"/>
    </row>
    <row r="9" spans="2:17" ht="45" customHeight="1" x14ac:dyDescent="0.2">
      <c r="B9" s="427">
        <v>45804</v>
      </c>
      <c r="C9" s="28" t="s">
        <v>641</v>
      </c>
      <c r="D9" s="422"/>
      <c r="E9" s="423">
        <v>45819</v>
      </c>
      <c r="F9" s="423">
        <v>46184</v>
      </c>
      <c r="G9" s="424">
        <v>12</v>
      </c>
      <c r="H9" s="424">
        <v>12</v>
      </c>
      <c r="I9" s="425">
        <v>390428.3</v>
      </c>
      <c r="J9" s="426">
        <f>(I9/12)</f>
        <v>32535.691666666666</v>
      </c>
      <c r="K9" s="419">
        <f>+J9*H9</f>
        <v>390428.3</v>
      </c>
      <c r="L9" s="419">
        <f>+I9-K9</f>
        <v>0</v>
      </c>
      <c r="M9" s="15" t="s">
        <v>661</v>
      </c>
      <c r="N9" s="14">
        <f>+L10+L12</f>
        <v>34567.106666666681</v>
      </c>
      <c r="O9" s="18">
        <v>32535.69</v>
      </c>
      <c r="P9" s="19">
        <f>+O9*H9</f>
        <v>390428.27999999997</v>
      </c>
      <c r="Q9" s="14">
        <f>+I9-P9</f>
        <v>2.0000000018626451E-2</v>
      </c>
    </row>
    <row r="10" spans="2:17" ht="45" customHeight="1" x14ac:dyDescent="0.2">
      <c r="B10" s="11">
        <v>45439</v>
      </c>
      <c r="C10" s="28" t="s">
        <v>639</v>
      </c>
      <c r="D10" s="251"/>
      <c r="E10" s="255">
        <v>45826</v>
      </c>
      <c r="F10" s="255">
        <v>46191</v>
      </c>
      <c r="G10" s="256">
        <v>12</v>
      </c>
      <c r="H10" s="417">
        <v>12</v>
      </c>
      <c r="I10" s="25">
        <v>28795.58</v>
      </c>
      <c r="J10" s="418">
        <f>+I10/12</f>
        <v>2399.6316666666667</v>
      </c>
      <c r="K10" s="419">
        <f>+J10*H10</f>
        <v>28795.58</v>
      </c>
      <c r="L10" s="419">
        <f>+I10-K10</f>
        <v>0</v>
      </c>
      <c r="M10" s="15" t="s">
        <v>640</v>
      </c>
      <c r="O10" s="18">
        <v>2430.34</v>
      </c>
      <c r="P10" s="19">
        <f>+O10*H10</f>
        <v>29164.080000000002</v>
      </c>
      <c r="Q10" s="14">
        <f t="shared" ref="Q10" si="0">+I10-P10</f>
        <v>-368.5</v>
      </c>
    </row>
    <row r="11" spans="2:17" ht="45" customHeight="1" x14ac:dyDescent="0.2">
      <c r="B11" s="11">
        <v>45931</v>
      </c>
      <c r="C11" s="28" t="s">
        <v>63</v>
      </c>
      <c r="D11" s="29" t="s">
        <v>692</v>
      </c>
      <c r="E11" s="24">
        <v>45962</v>
      </c>
      <c r="F11" s="24">
        <v>46327</v>
      </c>
      <c r="G11" s="256">
        <v>12</v>
      </c>
      <c r="H11" s="256">
        <v>7</v>
      </c>
      <c r="I11" s="25">
        <v>366172.21</v>
      </c>
      <c r="J11" s="418">
        <f>+I11/12</f>
        <v>30514.350833333334</v>
      </c>
      <c r="K11" s="419">
        <f>+J11*H11-0.01</f>
        <v>213600.44583333333</v>
      </c>
      <c r="L11" s="419">
        <f>+I11-K11</f>
        <v>152571.76416666669</v>
      </c>
      <c r="M11" s="15" t="s">
        <v>92</v>
      </c>
      <c r="O11" s="18">
        <v>19750.37</v>
      </c>
      <c r="P11" s="19">
        <f>+O11*H11</f>
        <v>138252.59</v>
      </c>
      <c r="Q11" s="14">
        <f t="shared" ref="Q11" si="1">+I11-P11</f>
        <v>227919.62000000002</v>
      </c>
    </row>
    <row r="12" spans="2:17" ht="51" customHeight="1" thickBot="1" x14ac:dyDescent="0.25">
      <c r="B12" s="469">
        <v>45869</v>
      </c>
      <c r="C12" s="470" t="s">
        <v>612</v>
      </c>
      <c r="D12" s="470"/>
      <c r="E12" s="471">
        <v>45866</v>
      </c>
      <c r="F12" s="471">
        <v>46231</v>
      </c>
      <c r="G12" s="472">
        <v>12</v>
      </c>
      <c r="H12" s="472">
        <v>10</v>
      </c>
      <c r="I12" s="473">
        <v>207400</v>
      </c>
      <c r="J12" s="482">
        <f>(I12/G12)-0.04</f>
        <v>17283.293333333331</v>
      </c>
      <c r="K12" s="482">
        <f>+J12*H12-0.03</f>
        <v>172832.90333333332</v>
      </c>
      <c r="L12" s="473">
        <f>+I12-K12+0.01</f>
        <v>34567.106666666681</v>
      </c>
      <c r="M12" s="479" t="s">
        <v>646</v>
      </c>
      <c r="N12" s="231"/>
      <c r="O12" s="18"/>
      <c r="P12" s="312"/>
      <c r="Q12" s="14">
        <f t="shared" ref="Q12" si="2">+I12-P12</f>
        <v>207400</v>
      </c>
    </row>
    <row r="13" spans="2:17" ht="33" customHeight="1" thickBot="1" x14ac:dyDescent="0.3">
      <c r="B13" s="229"/>
      <c r="C13" s="229"/>
      <c r="D13" s="230"/>
      <c r="E13" s="12"/>
      <c r="F13" s="302" t="s">
        <v>26</v>
      </c>
      <c r="G13" s="301"/>
      <c r="H13" s="301"/>
      <c r="I13" s="480">
        <f>SUM(I9:I12)</f>
        <v>992796.09000000008</v>
      </c>
      <c r="J13" s="483">
        <f>SUM(J9:J12)-0.01</f>
        <v>82732.957500000004</v>
      </c>
      <c r="K13" s="484">
        <f>SUM(K9:K12)</f>
        <v>805657.22916666663</v>
      </c>
      <c r="L13" s="481">
        <f>SUM(L9:L12)</f>
        <v>187138.87083333338</v>
      </c>
      <c r="M13" s="13"/>
      <c r="P13" s="311">
        <f>SUM(P9:P10)</f>
        <v>419592.36</v>
      </c>
      <c r="Q13" s="311">
        <f>SUM(Q9:Q10)</f>
        <v>-368.47999999998137</v>
      </c>
    </row>
    <row r="14" spans="2:17" ht="46.5" customHeight="1" x14ac:dyDescent="0.2">
      <c r="J14" s="19"/>
      <c r="K14" s="352"/>
      <c r="L14" s="352"/>
      <c r="N14" s="313"/>
    </row>
    <row r="15" spans="2:17" ht="36.75" customHeight="1" x14ac:dyDescent="0.2">
      <c r="I15" s="348"/>
      <c r="K15" s="348"/>
      <c r="L15" s="348"/>
      <c r="M15" s="14"/>
      <c r="N15" s="14"/>
    </row>
    <row r="16" spans="2:17" ht="27.75" customHeight="1" x14ac:dyDescent="0.2">
      <c r="J16" s="18"/>
      <c r="K16" s="14"/>
      <c r="L16" s="349"/>
      <c r="M16" s="14"/>
    </row>
    <row r="17" spans="10:12" ht="27.75" customHeight="1" x14ac:dyDescent="0.2">
      <c r="J17" s="18"/>
      <c r="K17" s="14"/>
      <c r="L17" s="350"/>
    </row>
    <row r="18" spans="10:12" x14ac:dyDescent="0.2">
      <c r="J18" s="18"/>
      <c r="L18" s="351"/>
    </row>
    <row r="19" spans="10:12" x14ac:dyDescent="0.2">
      <c r="J19" s="144"/>
      <c r="L19" s="313"/>
    </row>
    <row r="20" spans="10:12" x14ac:dyDescent="0.2">
      <c r="J20" s="18"/>
    </row>
    <row r="21" spans="10:12" x14ac:dyDescent="0.2">
      <c r="J21" s="18"/>
    </row>
    <row r="22" spans="10:12" x14ac:dyDescent="0.2">
      <c r="J22" s="18"/>
    </row>
  </sheetData>
  <mergeCells count="10">
    <mergeCell ref="B1:M1"/>
    <mergeCell ref="B2:M2"/>
    <mergeCell ref="B3:M3"/>
    <mergeCell ref="B5:M5"/>
    <mergeCell ref="C7:C8"/>
    <mergeCell ref="D7:D8"/>
    <mergeCell ref="E7:F7"/>
    <mergeCell ref="I7:L7"/>
    <mergeCell ref="M7:M8"/>
    <mergeCell ref="B4:M4"/>
  </mergeCells>
  <pageMargins left="0.19685039370078741" right="0.19685039370078741" top="0.74803149606299213" bottom="0.74803149606299213" header="0.31496062992125984" footer="0.31496062992125984"/>
  <pageSetup scale="59" orientation="landscape" r:id="rId1"/>
  <colBreaks count="1" manualBreakCount="1">
    <brk id="1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4"/>
  <dimension ref="A1:G14"/>
  <sheetViews>
    <sheetView topLeftCell="A7" zoomScaleNormal="100" workbookViewId="0">
      <selection activeCell="N5" sqref="N5"/>
    </sheetView>
  </sheetViews>
  <sheetFormatPr baseColWidth="10" defaultColWidth="11.42578125" defaultRowHeight="15" x14ac:dyDescent="0.25"/>
  <cols>
    <col min="1" max="1" width="4" customWidth="1"/>
    <col min="4" max="4" width="13.85546875" customWidth="1"/>
    <col min="5" max="5" width="17.5703125" customWidth="1"/>
    <col min="6" max="6" width="15.28515625" customWidth="1"/>
  </cols>
  <sheetData>
    <row r="1" spans="1:7" ht="24.75" customHeight="1" x14ac:dyDescent="0.25"/>
    <row r="2" spans="1:7" s="20" customFormat="1" ht="24.75" customHeight="1" x14ac:dyDescent="0.35">
      <c r="B2" s="523"/>
      <c r="C2" s="891" t="s">
        <v>93</v>
      </c>
      <c r="D2" s="891"/>
      <c r="E2" s="891"/>
      <c r="F2" s="891"/>
      <c r="G2" s="891"/>
    </row>
    <row r="3" spans="1:7" s="20" customFormat="1" ht="15" customHeight="1" x14ac:dyDescent="0.3">
      <c r="B3" s="868"/>
      <c r="C3" s="868"/>
      <c r="D3" s="868"/>
      <c r="E3" s="868"/>
      <c r="F3" s="868"/>
      <c r="G3" s="868"/>
    </row>
    <row r="4" spans="1:7" s="20" customFormat="1" ht="15" customHeight="1" x14ac:dyDescent="0.3">
      <c r="B4" s="173"/>
      <c r="C4" s="173"/>
      <c r="D4" s="173"/>
      <c r="E4" s="173"/>
      <c r="F4" s="173"/>
      <c r="G4" s="173"/>
    </row>
    <row r="5" spans="1:7" s="20" customFormat="1" ht="15" customHeight="1" x14ac:dyDescent="0.3">
      <c r="B5" s="173"/>
      <c r="C5" s="173"/>
      <c r="D5" s="173"/>
      <c r="E5" s="173"/>
      <c r="F5" s="173"/>
      <c r="G5" s="173"/>
    </row>
    <row r="6" spans="1:7" s="20" customFormat="1" ht="18.75" customHeight="1" x14ac:dyDescent="0.3">
      <c r="A6" s="880" t="s">
        <v>838</v>
      </c>
      <c r="B6" s="880"/>
      <c r="C6" s="880"/>
      <c r="D6" s="880"/>
      <c r="E6" s="880"/>
      <c r="F6" s="880"/>
      <c r="G6" s="880"/>
    </row>
    <row r="7" spans="1:7" s="20" customFormat="1" ht="14.25" customHeight="1" x14ac:dyDescent="0.25">
      <c r="A7" s="21"/>
      <c r="B7" s="21"/>
      <c r="C7" s="21"/>
      <c r="D7" s="21"/>
      <c r="E7" s="21"/>
      <c r="F7" s="21"/>
      <c r="G7" s="21"/>
    </row>
    <row r="8" spans="1:7" s="20" customFormat="1" ht="14.25" customHeight="1" x14ac:dyDescent="0.25">
      <c r="A8" s="21"/>
      <c r="B8" s="21"/>
      <c r="C8" s="21"/>
      <c r="D8" s="21"/>
      <c r="E8" s="21"/>
      <c r="F8" s="21"/>
      <c r="G8" s="21"/>
    </row>
    <row r="9" spans="1:7" ht="18.75" x14ac:dyDescent="0.25">
      <c r="A9" s="881" t="s">
        <v>94</v>
      </c>
      <c r="B9" s="881"/>
      <c r="C9" s="881"/>
      <c r="D9" s="881"/>
      <c r="E9" s="881"/>
      <c r="F9" s="881"/>
      <c r="G9" s="881"/>
    </row>
    <row r="10" spans="1:7" ht="18.75" x14ac:dyDescent="0.25">
      <c r="A10" s="175"/>
      <c r="B10" s="175"/>
      <c r="C10" s="175"/>
      <c r="D10" s="175"/>
      <c r="E10" s="175"/>
      <c r="F10" s="175"/>
      <c r="G10" s="175"/>
    </row>
    <row r="11" spans="1:7" ht="18.75" x14ac:dyDescent="0.25">
      <c r="B11" s="881" t="s">
        <v>392</v>
      </c>
      <c r="C11" s="881"/>
      <c r="D11" s="881"/>
      <c r="E11" s="881"/>
      <c r="F11" s="175" t="s">
        <v>113</v>
      </c>
    </row>
    <row r="12" spans="1:7" ht="18" customHeight="1" x14ac:dyDescent="0.25">
      <c r="B12" s="43" t="s">
        <v>545</v>
      </c>
      <c r="F12" s="178">
        <v>1102461.3600000001</v>
      </c>
    </row>
    <row r="13" spans="1:7" ht="18.75" customHeight="1" thickBot="1" x14ac:dyDescent="0.3">
      <c r="B13" s="44" t="s">
        <v>76</v>
      </c>
      <c r="C13" s="43"/>
      <c r="D13" s="43"/>
      <c r="E13" s="43"/>
      <c r="F13" s="185">
        <f>SUM(F12:F12)</f>
        <v>1102461.3600000001</v>
      </c>
    </row>
    <row r="14" spans="1:7" ht="15.75" thickTop="1" x14ac:dyDescent="0.25"/>
  </sheetData>
  <mergeCells count="5">
    <mergeCell ref="C2:G2"/>
    <mergeCell ref="A9:G9"/>
    <mergeCell ref="B11:E11"/>
    <mergeCell ref="B3:G3"/>
    <mergeCell ref="A6:G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A95F5-5878-49D0-9BC8-55AD97E583B4}">
  <dimension ref="A1:I34"/>
  <sheetViews>
    <sheetView topLeftCell="A26" zoomScaleNormal="100" workbookViewId="0">
      <selection activeCell="C37" sqref="C37"/>
    </sheetView>
  </sheetViews>
  <sheetFormatPr baseColWidth="10" defaultColWidth="11.42578125" defaultRowHeight="25.5" customHeight="1" x14ac:dyDescent="0.25"/>
  <cols>
    <col min="1" max="1" width="1.140625" customWidth="1"/>
    <col min="2" max="2" width="12" customWidth="1"/>
    <col min="3" max="3" width="20.7109375" style="30" customWidth="1"/>
    <col min="4" max="4" width="40.42578125" customWidth="1"/>
    <col min="5" max="5" width="13.7109375" style="31" customWidth="1"/>
    <col min="6" max="6" width="50.85546875" customWidth="1"/>
    <col min="7" max="7" width="20.85546875" customWidth="1"/>
    <col min="8" max="8" width="15.28515625" bestFit="1" customWidth="1"/>
  </cols>
  <sheetData>
    <row r="1" spans="1:8" ht="22.5" customHeight="1" x14ac:dyDescent="0.25">
      <c r="A1" s="815"/>
      <c r="B1" s="815"/>
      <c r="C1" s="815"/>
      <c r="D1" s="815"/>
      <c r="E1" s="815"/>
      <c r="F1" s="815"/>
    </row>
    <row r="2" spans="1:8" ht="25.5" customHeight="1" x14ac:dyDescent="0.25">
      <c r="A2" s="815"/>
      <c r="B2" s="815"/>
      <c r="C2" s="815"/>
      <c r="D2" s="815"/>
      <c r="E2" s="815"/>
      <c r="F2" s="815"/>
    </row>
    <row r="3" spans="1:8" ht="25.5" customHeight="1" x14ac:dyDescent="0.5">
      <c r="A3" s="841" t="s">
        <v>660</v>
      </c>
      <c r="B3" s="841"/>
      <c r="C3" s="841"/>
      <c r="D3" s="841"/>
      <c r="E3" s="841"/>
      <c r="F3" s="841"/>
      <c r="G3" s="188"/>
    </row>
    <row r="4" spans="1:8" ht="17.25" customHeight="1" x14ac:dyDescent="0.4">
      <c r="A4" s="892"/>
      <c r="B4" s="892"/>
      <c r="C4" s="892"/>
      <c r="D4" s="892"/>
      <c r="E4" s="892"/>
      <c r="F4" s="892"/>
      <c r="G4" s="188"/>
    </row>
    <row r="5" spans="1:8" ht="25.5" customHeight="1" x14ac:dyDescent="0.25">
      <c r="A5" s="893" t="s">
        <v>839</v>
      </c>
      <c r="B5" s="893"/>
      <c r="C5" s="893"/>
      <c r="D5" s="893"/>
      <c r="E5" s="893"/>
      <c r="F5" s="893"/>
      <c r="G5" s="56" t="s">
        <v>0</v>
      </c>
    </row>
    <row r="6" spans="1:8" ht="25.5" customHeight="1" thickBot="1" x14ac:dyDescent="0.3">
      <c r="A6" s="815"/>
      <c r="B6" s="815"/>
      <c r="C6" s="815"/>
      <c r="D6" s="815"/>
      <c r="E6" s="815"/>
      <c r="F6" s="815"/>
    </row>
    <row r="7" spans="1:8" s="20" customFormat="1" ht="33" customHeight="1" x14ac:dyDescent="0.2">
      <c r="B7" s="333" t="s">
        <v>127</v>
      </c>
      <c r="C7" s="333" t="s">
        <v>214</v>
      </c>
      <c r="D7" s="333" t="s">
        <v>128</v>
      </c>
      <c r="E7" s="333" t="s">
        <v>129</v>
      </c>
      <c r="F7" s="333" t="s">
        <v>130</v>
      </c>
      <c r="G7" s="160"/>
    </row>
    <row r="8" spans="1:8" s="20" customFormat="1" ht="30" customHeight="1" x14ac:dyDescent="0.2">
      <c r="B8" s="220">
        <v>42710</v>
      </c>
      <c r="C8" s="162" t="s">
        <v>131</v>
      </c>
      <c r="D8" s="261" t="s">
        <v>132</v>
      </c>
      <c r="E8" s="334">
        <v>66544.009999999995</v>
      </c>
      <c r="F8" s="329" t="s">
        <v>554</v>
      </c>
      <c r="G8" s="328"/>
    </row>
    <row r="9" spans="1:8" s="20" customFormat="1" ht="39.75" customHeight="1" x14ac:dyDescent="0.2">
      <c r="B9" s="220">
        <v>45901</v>
      </c>
      <c r="C9" s="505" t="s">
        <v>689</v>
      </c>
      <c r="D9" s="261" t="s">
        <v>688</v>
      </c>
      <c r="E9" s="513">
        <v>5015617.92</v>
      </c>
      <c r="F9" s="163" t="s">
        <v>691</v>
      </c>
      <c r="G9" s="328"/>
    </row>
    <row r="10" spans="1:8" s="20" customFormat="1" ht="38.25" customHeight="1" x14ac:dyDescent="0.2">
      <c r="B10" s="220">
        <v>45931</v>
      </c>
      <c r="C10" s="505" t="s">
        <v>687</v>
      </c>
      <c r="D10" s="261" t="s">
        <v>688</v>
      </c>
      <c r="E10" s="363">
        <v>1003123.84</v>
      </c>
      <c r="F10" s="163" t="s">
        <v>690</v>
      </c>
      <c r="G10" s="328"/>
      <c r="H10" s="65"/>
    </row>
    <row r="11" spans="1:8" s="20" customFormat="1" ht="38.25" customHeight="1" x14ac:dyDescent="0.2">
      <c r="B11" s="220">
        <v>45962</v>
      </c>
      <c r="C11" s="505" t="s">
        <v>695</v>
      </c>
      <c r="D11" s="261" t="s">
        <v>688</v>
      </c>
      <c r="E11" s="363">
        <v>1012252.26</v>
      </c>
      <c r="F11" s="163" t="s">
        <v>696</v>
      </c>
      <c r="G11" s="328"/>
      <c r="H11" s="65"/>
    </row>
    <row r="12" spans="1:8" s="20" customFormat="1" ht="38.25" customHeight="1" x14ac:dyDescent="0.2">
      <c r="B12" s="220">
        <v>45992</v>
      </c>
      <c r="C12" s="505" t="s">
        <v>702</v>
      </c>
      <c r="D12" s="261" t="s">
        <v>688</v>
      </c>
      <c r="E12" s="363">
        <v>1006006.25</v>
      </c>
      <c r="F12" s="163" t="s">
        <v>703</v>
      </c>
      <c r="G12" s="328"/>
      <c r="H12" s="65"/>
    </row>
    <row r="13" spans="1:8" s="20" customFormat="1" ht="38.25" customHeight="1" x14ac:dyDescent="0.2">
      <c r="B13" s="220">
        <v>46031</v>
      </c>
      <c r="C13" s="505" t="s">
        <v>705</v>
      </c>
      <c r="D13" s="261" t="s">
        <v>688</v>
      </c>
      <c r="E13" s="363">
        <v>876591.93</v>
      </c>
      <c r="F13" s="163" t="s">
        <v>706</v>
      </c>
      <c r="G13" s="328"/>
      <c r="H13" s="65"/>
    </row>
    <row r="14" spans="1:8" s="20" customFormat="1" ht="38.25" customHeight="1" x14ac:dyDescent="0.2">
      <c r="B14" s="220">
        <v>46031</v>
      </c>
      <c r="C14" s="505" t="s">
        <v>708</v>
      </c>
      <c r="D14" s="261" t="s">
        <v>688</v>
      </c>
      <c r="E14" s="363">
        <v>117599.4</v>
      </c>
      <c r="F14" s="163" t="s">
        <v>706</v>
      </c>
      <c r="G14" s="328"/>
      <c r="H14" s="65"/>
    </row>
    <row r="15" spans="1:8" s="587" customFormat="1" ht="38.25" customHeight="1" x14ac:dyDescent="0.2">
      <c r="B15" s="585">
        <v>46057</v>
      </c>
      <c r="C15" s="505" t="s">
        <v>721</v>
      </c>
      <c r="D15" s="576" t="s">
        <v>688</v>
      </c>
      <c r="E15" s="363">
        <v>869536.92</v>
      </c>
      <c r="F15" s="586" t="s">
        <v>719</v>
      </c>
      <c r="G15" s="588"/>
      <c r="H15" s="397"/>
    </row>
    <row r="16" spans="1:8" s="587" customFormat="1" ht="38.25" customHeight="1" x14ac:dyDescent="0.2">
      <c r="B16" s="585">
        <v>46057</v>
      </c>
      <c r="C16" s="505" t="s">
        <v>722</v>
      </c>
      <c r="D16" s="576" t="s">
        <v>688</v>
      </c>
      <c r="E16" s="363">
        <v>116652.94</v>
      </c>
      <c r="F16" s="586" t="s">
        <v>719</v>
      </c>
      <c r="G16" s="588"/>
      <c r="H16" s="397"/>
    </row>
    <row r="17" spans="2:9" s="587" customFormat="1" ht="38.25" customHeight="1" x14ac:dyDescent="0.2">
      <c r="B17" s="585">
        <v>46085</v>
      </c>
      <c r="C17" s="505" t="s">
        <v>731</v>
      </c>
      <c r="D17" s="576" t="s">
        <v>688</v>
      </c>
      <c r="E17" s="363">
        <v>819319.87</v>
      </c>
      <c r="F17" s="586" t="s">
        <v>733</v>
      </c>
      <c r="G17" s="588"/>
      <c r="H17" s="397"/>
    </row>
    <row r="18" spans="2:9" s="587" customFormat="1" ht="38.25" customHeight="1" x14ac:dyDescent="0.2">
      <c r="B18" s="585">
        <v>46085</v>
      </c>
      <c r="C18" s="505" t="s">
        <v>732</v>
      </c>
      <c r="D18" s="576" t="s">
        <v>688</v>
      </c>
      <c r="E18" s="363">
        <v>109916.06</v>
      </c>
      <c r="F18" s="586" t="s">
        <v>733</v>
      </c>
      <c r="G18" s="588"/>
      <c r="H18" s="397"/>
    </row>
    <row r="19" spans="2:9" s="20" customFormat="1" ht="35.25" customHeight="1" x14ac:dyDescent="0.2">
      <c r="B19" s="220">
        <v>46118</v>
      </c>
      <c r="C19" s="162" t="s">
        <v>765</v>
      </c>
      <c r="D19" s="576" t="s">
        <v>688</v>
      </c>
      <c r="E19" s="577">
        <v>836842.01</v>
      </c>
      <c r="F19" s="536" t="s">
        <v>767</v>
      </c>
      <c r="G19" s="328"/>
      <c r="H19" s="65"/>
    </row>
    <row r="20" spans="2:9" s="587" customFormat="1" ht="38.25" customHeight="1" x14ac:dyDescent="0.2">
      <c r="B20" s="220">
        <v>46118</v>
      </c>
      <c r="C20" s="505" t="s">
        <v>766</v>
      </c>
      <c r="D20" s="478" t="s">
        <v>688</v>
      </c>
      <c r="E20" s="363">
        <v>112266.75</v>
      </c>
      <c r="F20" s="586" t="s">
        <v>767</v>
      </c>
      <c r="G20" s="588"/>
      <c r="H20" s="397"/>
    </row>
    <row r="21" spans="2:9" s="20" customFormat="1" ht="39" customHeight="1" x14ac:dyDescent="0.2">
      <c r="B21" s="220">
        <v>46147</v>
      </c>
      <c r="C21" s="162" t="s">
        <v>871</v>
      </c>
      <c r="D21" s="576" t="s">
        <v>688</v>
      </c>
      <c r="E21" s="577">
        <v>820739.17</v>
      </c>
      <c r="F21" s="536" t="s">
        <v>873</v>
      </c>
      <c r="G21" s="328"/>
      <c r="H21" s="65"/>
    </row>
    <row r="22" spans="2:9" s="20" customFormat="1" ht="39" customHeight="1" x14ac:dyDescent="0.2">
      <c r="B22" s="220">
        <v>46147</v>
      </c>
      <c r="C22" s="505" t="s">
        <v>872</v>
      </c>
      <c r="D22" s="478" t="s">
        <v>688</v>
      </c>
      <c r="E22" s="363">
        <v>110106.46</v>
      </c>
      <c r="F22" s="586" t="s">
        <v>934</v>
      </c>
      <c r="G22" s="328"/>
      <c r="H22" s="65"/>
    </row>
    <row r="23" spans="2:9" s="20" customFormat="1" ht="33.75" customHeight="1" x14ac:dyDescent="0.2">
      <c r="B23" s="164">
        <v>46168</v>
      </c>
      <c r="C23" s="505" t="s">
        <v>932</v>
      </c>
      <c r="D23" s="478" t="s">
        <v>933</v>
      </c>
      <c r="E23" s="363">
        <v>5935.91</v>
      </c>
      <c r="F23" s="586" t="s">
        <v>812</v>
      </c>
      <c r="G23" s="328"/>
      <c r="H23" s="65"/>
    </row>
    <row r="24" spans="2:9" s="20" customFormat="1" ht="50.25" customHeight="1" x14ac:dyDescent="0.2">
      <c r="B24" s="164">
        <v>46170</v>
      </c>
      <c r="C24" s="162" t="s">
        <v>919</v>
      </c>
      <c r="D24" s="478" t="s">
        <v>920</v>
      </c>
      <c r="E24" s="577">
        <v>63720</v>
      </c>
      <c r="F24" s="718" t="s">
        <v>923</v>
      </c>
      <c r="G24" s="328"/>
      <c r="H24" s="65"/>
    </row>
    <row r="25" spans="2:9" s="20" customFormat="1" ht="35.25" customHeight="1" x14ac:dyDescent="0.2">
      <c r="B25" s="164">
        <v>46170</v>
      </c>
      <c r="C25" s="162" t="s">
        <v>986</v>
      </c>
      <c r="D25" s="478" t="s">
        <v>987</v>
      </c>
      <c r="E25" s="577">
        <v>63197.38</v>
      </c>
      <c r="F25" s="586" t="s">
        <v>988</v>
      </c>
      <c r="G25" s="328"/>
      <c r="H25" s="65"/>
    </row>
    <row r="26" spans="2:9" s="20" customFormat="1" ht="66" customHeight="1" x14ac:dyDescent="0.2">
      <c r="B26" s="164">
        <v>46170</v>
      </c>
      <c r="C26" s="162" t="s">
        <v>921</v>
      </c>
      <c r="D26" s="478" t="s">
        <v>920</v>
      </c>
      <c r="E26" s="577">
        <v>12744</v>
      </c>
      <c r="F26" s="718" t="s">
        <v>922</v>
      </c>
      <c r="G26" s="328"/>
      <c r="H26" s="65"/>
    </row>
    <row r="27" spans="2:9" s="20" customFormat="1" ht="27.75" customHeight="1" thickBot="1" x14ac:dyDescent="0.25">
      <c r="B27" s="289">
        <v>46142</v>
      </c>
      <c r="C27" s="165" t="s">
        <v>290</v>
      </c>
      <c r="D27" s="290" t="s">
        <v>216</v>
      </c>
      <c r="E27" s="528">
        <f>3280.1+3994.77+16927.69</f>
        <v>24202.559999999998</v>
      </c>
      <c r="F27" s="332" t="s">
        <v>216</v>
      </c>
      <c r="G27" s="328"/>
      <c r="H27" s="157"/>
    </row>
    <row r="28" spans="2:9" s="20" customFormat="1" ht="25.5" customHeight="1" thickBot="1" x14ac:dyDescent="0.3">
      <c r="B28" s="285"/>
      <c r="C28" s="286"/>
      <c r="D28" s="291" t="s">
        <v>534</v>
      </c>
      <c r="E28" s="287">
        <f>SUM(E8:E27)</f>
        <v>13062915.640000001</v>
      </c>
      <c r="F28" s="288"/>
      <c r="G28" s="353"/>
      <c r="H28" s="361"/>
      <c r="I28" s="170"/>
    </row>
    <row r="29" spans="2:9" s="20" customFormat="1" ht="25.5" customHeight="1" x14ac:dyDescent="0.25">
      <c r="B29" s="171"/>
      <c r="C29" s="113"/>
      <c r="D29" s="128"/>
      <c r="E29" s="39"/>
      <c r="F29" s="57"/>
      <c r="G29" s="297"/>
      <c r="H29" s="169"/>
      <c r="I29" s="170"/>
    </row>
    <row r="30" spans="2:9" s="20" customFormat="1" ht="25.5" customHeight="1" x14ac:dyDescent="0.25">
      <c r="B30" s="171"/>
      <c r="C30" s="113"/>
      <c r="D30" s="128"/>
      <c r="E30" s="39"/>
      <c r="F30" s="57"/>
      <c r="G30" s="193"/>
      <c r="H30" s="194"/>
      <c r="I30" s="170"/>
    </row>
    <row r="31" spans="2:9" ht="25.5" customHeight="1" x14ac:dyDescent="0.25">
      <c r="B31" s="815" t="s">
        <v>659</v>
      </c>
      <c r="C31" s="815"/>
    </row>
    <row r="32" spans="2:9" ht="15.75" customHeight="1" x14ac:dyDescent="0.25">
      <c r="B32" s="815" t="s">
        <v>84</v>
      </c>
      <c r="C32" s="815"/>
      <c r="G32" s="5"/>
    </row>
    <row r="33" spans="3:7" ht="25.5" customHeight="1" x14ac:dyDescent="0.25">
      <c r="G33" s="5"/>
    </row>
    <row r="34" spans="3:7" ht="25.5" customHeight="1" x14ac:dyDescent="0.25">
      <c r="C34"/>
      <c r="F34" s="57"/>
      <c r="G34" s="58"/>
    </row>
  </sheetData>
  <mergeCells count="8">
    <mergeCell ref="B31:C31"/>
    <mergeCell ref="B32:C32"/>
    <mergeCell ref="A1:F1"/>
    <mergeCell ref="A2:F2"/>
    <mergeCell ref="A3:F3"/>
    <mergeCell ref="A4:F4"/>
    <mergeCell ref="A5:F5"/>
    <mergeCell ref="A6:F6"/>
  </mergeCells>
  <pageMargins left="0.31496062992125984" right="0.11811023622047245" top="0.55118110236220474" bottom="0.27559055118110237" header="0.15748031496062992" footer="0.19685039370078741"/>
  <pageSetup scale="70" orientation="portrait" r:id="rId1"/>
  <colBreaks count="1" manualBreakCount="1">
    <brk id="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12051-F6E5-4EFD-A90D-0108998E35F6}">
  <dimension ref="A1:I33"/>
  <sheetViews>
    <sheetView topLeftCell="A19" zoomScaleNormal="100" workbookViewId="0">
      <selection activeCell="E24" sqref="E24"/>
    </sheetView>
  </sheetViews>
  <sheetFormatPr baseColWidth="10" defaultColWidth="11.42578125" defaultRowHeight="25.5" customHeight="1" x14ac:dyDescent="0.25"/>
  <cols>
    <col min="1" max="1" width="1.140625" customWidth="1"/>
    <col min="2" max="2" width="12" customWidth="1"/>
    <col min="3" max="3" width="20.7109375" style="30" customWidth="1"/>
    <col min="4" max="4" width="40.42578125" customWidth="1"/>
    <col min="5" max="5" width="13.7109375" style="31" customWidth="1"/>
    <col min="6" max="6" width="50.85546875" customWidth="1"/>
    <col min="7" max="7" width="20.85546875" customWidth="1"/>
    <col min="8" max="8" width="15.28515625" bestFit="1" customWidth="1"/>
  </cols>
  <sheetData>
    <row r="1" spans="1:8" ht="22.5" customHeight="1" x14ac:dyDescent="0.25">
      <c r="A1" s="815"/>
      <c r="B1" s="815"/>
      <c r="C1" s="815"/>
      <c r="D1" s="815"/>
      <c r="E1" s="815"/>
      <c r="F1" s="815"/>
    </row>
    <row r="2" spans="1:8" ht="25.5" customHeight="1" x14ac:dyDescent="0.25">
      <c r="A2" s="815"/>
      <c r="B2" s="815"/>
      <c r="C2" s="815"/>
      <c r="D2" s="815"/>
      <c r="E2" s="815"/>
      <c r="F2" s="815"/>
    </row>
    <row r="3" spans="1:8" ht="25.5" customHeight="1" x14ac:dyDescent="0.5">
      <c r="A3" s="841" t="s">
        <v>660</v>
      </c>
      <c r="B3" s="841"/>
      <c r="C3" s="841"/>
      <c r="D3" s="841"/>
      <c r="E3" s="841"/>
      <c r="F3" s="841"/>
      <c r="G3" s="188"/>
    </row>
    <row r="4" spans="1:8" ht="17.25" customHeight="1" x14ac:dyDescent="0.4">
      <c r="A4" s="892"/>
      <c r="B4" s="892"/>
      <c r="C4" s="892"/>
      <c r="D4" s="892"/>
      <c r="E4" s="892"/>
      <c r="F4" s="892"/>
      <c r="G4" s="188"/>
    </row>
    <row r="5" spans="1:8" ht="25.5" customHeight="1" x14ac:dyDescent="0.25">
      <c r="A5" s="893" t="s">
        <v>763</v>
      </c>
      <c r="B5" s="893"/>
      <c r="C5" s="893"/>
      <c r="D5" s="893"/>
      <c r="E5" s="893"/>
      <c r="F5" s="893"/>
      <c r="G5" s="56" t="s">
        <v>0</v>
      </c>
    </row>
    <row r="6" spans="1:8" ht="25.5" customHeight="1" thickBot="1" x14ac:dyDescent="0.3">
      <c r="A6" s="815"/>
      <c r="B6" s="815"/>
      <c r="C6" s="815"/>
      <c r="D6" s="815"/>
      <c r="E6" s="815"/>
      <c r="F6" s="815"/>
    </row>
    <row r="7" spans="1:8" s="20" customFormat="1" ht="33" customHeight="1" x14ac:dyDescent="0.2">
      <c r="B7" s="333" t="s">
        <v>127</v>
      </c>
      <c r="C7" s="333" t="s">
        <v>214</v>
      </c>
      <c r="D7" s="333" t="s">
        <v>128</v>
      </c>
      <c r="E7" s="333" t="s">
        <v>129</v>
      </c>
      <c r="F7" s="333" t="s">
        <v>130</v>
      </c>
      <c r="G7" s="160"/>
    </row>
    <row r="8" spans="1:8" s="20" customFormat="1" ht="30" customHeight="1" x14ac:dyDescent="0.2">
      <c r="B8" s="220">
        <v>42710</v>
      </c>
      <c r="C8" s="162" t="s">
        <v>131</v>
      </c>
      <c r="D8" s="261" t="s">
        <v>132</v>
      </c>
      <c r="E8" s="334">
        <v>66544.009999999995</v>
      </c>
      <c r="F8" s="329" t="s">
        <v>554</v>
      </c>
      <c r="G8" s="328"/>
    </row>
    <row r="9" spans="1:8" s="20" customFormat="1" ht="39.75" customHeight="1" x14ac:dyDescent="0.2">
      <c r="B9" s="220">
        <v>45901</v>
      </c>
      <c r="C9" s="505" t="s">
        <v>689</v>
      </c>
      <c r="D9" s="261" t="s">
        <v>688</v>
      </c>
      <c r="E9" s="513">
        <v>5015617.92</v>
      </c>
      <c r="F9" s="163" t="s">
        <v>691</v>
      </c>
      <c r="G9" s="328"/>
    </row>
    <row r="10" spans="1:8" s="20" customFormat="1" ht="38.25" customHeight="1" x14ac:dyDescent="0.2">
      <c r="B10" s="220">
        <v>45931</v>
      </c>
      <c r="C10" s="505" t="s">
        <v>687</v>
      </c>
      <c r="D10" s="261" t="s">
        <v>688</v>
      </c>
      <c r="E10" s="363">
        <v>1003123.84</v>
      </c>
      <c r="F10" s="163" t="s">
        <v>690</v>
      </c>
      <c r="G10" s="328"/>
      <c r="H10" s="65"/>
    </row>
    <row r="11" spans="1:8" s="20" customFormat="1" ht="38.25" customHeight="1" x14ac:dyDescent="0.2">
      <c r="B11" s="220">
        <v>45962</v>
      </c>
      <c r="C11" s="505" t="s">
        <v>695</v>
      </c>
      <c r="D11" s="261" t="s">
        <v>688</v>
      </c>
      <c r="E11" s="363">
        <v>1012252.26</v>
      </c>
      <c r="F11" s="163" t="s">
        <v>696</v>
      </c>
      <c r="G11" s="328"/>
      <c r="H11" s="65"/>
    </row>
    <row r="12" spans="1:8" s="20" customFormat="1" ht="38.25" customHeight="1" x14ac:dyDescent="0.2">
      <c r="B12" s="220">
        <v>45992</v>
      </c>
      <c r="C12" s="505" t="s">
        <v>702</v>
      </c>
      <c r="D12" s="261" t="s">
        <v>688</v>
      </c>
      <c r="E12" s="363">
        <v>1006006.25</v>
      </c>
      <c r="F12" s="163" t="s">
        <v>703</v>
      </c>
      <c r="G12" s="328"/>
      <c r="H12" s="65"/>
    </row>
    <row r="13" spans="1:8" s="20" customFormat="1" ht="38.25" customHeight="1" x14ac:dyDescent="0.2">
      <c r="B13" s="220">
        <v>46031</v>
      </c>
      <c r="C13" s="505" t="s">
        <v>705</v>
      </c>
      <c r="D13" s="261" t="s">
        <v>688</v>
      </c>
      <c r="E13" s="363">
        <v>876591.93</v>
      </c>
      <c r="F13" s="163" t="s">
        <v>706</v>
      </c>
      <c r="G13" s="328"/>
      <c r="H13" s="65"/>
    </row>
    <row r="14" spans="1:8" s="20" customFormat="1" ht="38.25" customHeight="1" x14ac:dyDescent="0.2">
      <c r="B14" s="220">
        <v>46031</v>
      </c>
      <c r="C14" s="505" t="s">
        <v>708</v>
      </c>
      <c r="D14" s="261" t="s">
        <v>688</v>
      </c>
      <c r="E14" s="363">
        <v>117599.4</v>
      </c>
      <c r="F14" s="163" t="s">
        <v>706</v>
      </c>
      <c r="G14" s="328"/>
      <c r="H14" s="65"/>
    </row>
    <row r="15" spans="1:8" s="587" customFormat="1" ht="38.25" customHeight="1" x14ac:dyDescent="0.2">
      <c r="B15" s="585">
        <v>46057</v>
      </c>
      <c r="C15" s="505" t="s">
        <v>721</v>
      </c>
      <c r="D15" s="576" t="s">
        <v>688</v>
      </c>
      <c r="E15" s="363">
        <v>869536.92</v>
      </c>
      <c r="F15" s="586" t="s">
        <v>719</v>
      </c>
      <c r="G15" s="588"/>
      <c r="H15" s="397"/>
    </row>
    <row r="16" spans="1:8" s="587" customFormat="1" ht="38.25" customHeight="1" x14ac:dyDescent="0.2">
      <c r="B16" s="585">
        <v>46057</v>
      </c>
      <c r="C16" s="505" t="s">
        <v>722</v>
      </c>
      <c r="D16" s="576" t="s">
        <v>688</v>
      </c>
      <c r="E16" s="363">
        <v>116652.94</v>
      </c>
      <c r="F16" s="586" t="s">
        <v>719</v>
      </c>
      <c r="G16" s="588"/>
      <c r="H16" s="397"/>
    </row>
    <row r="17" spans="2:9" s="587" customFormat="1" ht="38.25" customHeight="1" x14ac:dyDescent="0.2">
      <c r="B17" s="585">
        <v>46085</v>
      </c>
      <c r="C17" s="505" t="s">
        <v>731</v>
      </c>
      <c r="D17" s="576" t="s">
        <v>688</v>
      </c>
      <c r="E17" s="363">
        <v>819319.87</v>
      </c>
      <c r="F17" s="586" t="s">
        <v>733</v>
      </c>
      <c r="G17" s="588"/>
      <c r="H17" s="397"/>
    </row>
    <row r="18" spans="2:9" s="587" customFormat="1" ht="38.25" customHeight="1" x14ac:dyDescent="0.2">
      <c r="B18" s="585">
        <v>46085</v>
      </c>
      <c r="C18" s="505" t="s">
        <v>732</v>
      </c>
      <c r="D18" s="576" t="s">
        <v>688</v>
      </c>
      <c r="E18" s="363">
        <v>109916.06</v>
      </c>
      <c r="F18" s="586" t="s">
        <v>733</v>
      </c>
      <c r="G18" s="588"/>
      <c r="H18" s="397"/>
    </row>
    <row r="19" spans="2:9" s="20" customFormat="1" ht="35.25" customHeight="1" x14ac:dyDescent="0.2">
      <c r="B19" s="220">
        <v>46118</v>
      </c>
      <c r="C19" s="162" t="s">
        <v>765</v>
      </c>
      <c r="D19" s="576" t="s">
        <v>688</v>
      </c>
      <c r="E19" s="577">
        <v>836842.01</v>
      </c>
      <c r="F19" s="536" t="s">
        <v>767</v>
      </c>
      <c r="G19" s="328"/>
      <c r="H19" s="65"/>
    </row>
    <row r="20" spans="2:9" s="587" customFormat="1" ht="38.25" customHeight="1" x14ac:dyDescent="0.2">
      <c r="B20" s="220">
        <v>46118</v>
      </c>
      <c r="C20" s="505" t="s">
        <v>766</v>
      </c>
      <c r="D20" s="478" t="s">
        <v>688</v>
      </c>
      <c r="E20" s="363">
        <v>112266.75</v>
      </c>
      <c r="F20" s="586" t="s">
        <v>767</v>
      </c>
      <c r="G20" s="588"/>
      <c r="H20" s="397"/>
    </row>
    <row r="21" spans="2:9" s="20" customFormat="1" ht="39" customHeight="1" x14ac:dyDescent="0.2">
      <c r="B21" s="164">
        <v>46132</v>
      </c>
      <c r="C21" s="162">
        <v>7</v>
      </c>
      <c r="D21" s="478" t="s">
        <v>805</v>
      </c>
      <c r="E21" s="577">
        <v>239426.8</v>
      </c>
      <c r="F21" s="536" t="s">
        <v>806</v>
      </c>
      <c r="G21" s="328"/>
      <c r="H21" s="65"/>
    </row>
    <row r="22" spans="2:9" s="20" customFormat="1" ht="39" customHeight="1" x14ac:dyDescent="0.2">
      <c r="B22" s="164">
        <v>46132</v>
      </c>
      <c r="C22" s="162" t="s">
        <v>808</v>
      </c>
      <c r="D22" s="478" t="s">
        <v>677</v>
      </c>
      <c r="E22" s="577">
        <v>22974</v>
      </c>
      <c r="F22" s="536" t="s">
        <v>809</v>
      </c>
      <c r="G22" s="328"/>
      <c r="H22" s="65"/>
    </row>
    <row r="23" spans="2:9" s="20" customFormat="1" ht="63.75" customHeight="1" x14ac:dyDescent="0.2">
      <c r="B23" s="164">
        <v>46140</v>
      </c>
      <c r="C23" s="162" t="s">
        <v>807</v>
      </c>
      <c r="D23" s="478" t="s">
        <v>720</v>
      </c>
      <c r="E23" s="577">
        <v>10030</v>
      </c>
      <c r="F23" s="329" t="s">
        <v>810</v>
      </c>
      <c r="G23" s="328"/>
      <c r="H23" s="65"/>
    </row>
    <row r="24" spans="2:9" s="20" customFormat="1" ht="35.25" customHeight="1" x14ac:dyDescent="0.2">
      <c r="B24" s="220">
        <v>46139</v>
      </c>
      <c r="C24" s="162" t="s">
        <v>811</v>
      </c>
      <c r="D24" s="576" t="s">
        <v>709</v>
      </c>
      <c r="E24" s="577">
        <v>6050.56</v>
      </c>
      <c r="F24" s="536" t="s">
        <v>812</v>
      </c>
      <c r="G24" s="328"/>
      <c r="H24" s="65"/>
    </row>
    <row r="25" spans="2:9" s="20" customFormat="1" ht="27.75" customHeight="1" thickBot="1" x14ac:dyDescent="0.25">
      <c r="B25" s="289">
        <v>46142</v>
      </c>
      <c r="C25" s="165" t="s">
        <v>290</v>
      </c>
      <c r="D25" s="290" t="s">
        <v>216</v>
      </c>
      <c r="E25" s="528">
        <f>16170.63+3338.03+5588.84</f>
        <v>25097.5</v>
      </c>
      <c r="F25" s="332" t="s">
        <v>216</v>
      </c>
      <c r="G25" s="328"/>
      <c r="H25" s="157"/>
    </row>
    <row r="26" spans="2:9" s="20" customFormat="1" ht="25.5" customHeight="1" thickBot="1" x14ac:dyDescent="0.3">
      <c r="B26" s="285"/>
      <c r="C26" s="286"/>
      <c r="D26" s="291" t="s">
        <v>534</v>
      </c>
      <c r="E26" s="287">
        <f>SUM(E8:E25)</f>
        <v>12265849.02</v>
      </c>
      <c r="F26" s="288"/>
      <c r="G26" s="353"/>
      <c r="H26" s="361"/>
      <c r="I26" s="170"/>
    </row>
    <row r="27" spans="2:9" s="20" customFormat="1" ht="25.5" customHeight="1" x14ac:dyDescent="0.25">
      <c r="B27" s="171"/>
      <c r="C27" s="113"/>
      <c r="D27" s="128"/>
      <c r="E27" s="39"/>
      <c r="F27" s="57"/>
      <c r="G27" s="297"/>
      <c r="H27" s="169"/>
      <c r="I27" s="170"/>
    </row>
    <row r="28" spans="2:9" s="20" customFormat="1" ht="25.5" customHeight="1" x14ac:dyDescent="0.25">
      <c r="B28" s="171"/>
      <c r="C28" s="113"/>
      <c r="D28" s="128"/>
      <c r="E28" s="39"/>
      <c r="F28" s="57"/>
      <c r="G28" s="193"/>
      <c r="H28" s="194"/>
      <c r="I28" s="170"/>
    </row>
    <row r="29" spans="2:9" s="20" customFormat="1" ht="38.25" customHeight="1" x14ac:dyDescent="0.25">
      <c r="B29" s="171"/>
      <c r="C29" s="113"/>
      <c r="D29" s="128"/>
      <c r="E29" s="39"/>
      <c r="F29" s="57"/>
      <c r="G29" s="57"/>
      <c r="H29" s="169"/>
      <c r="I29" s="170"/>
    </row>
    <row r="30" spans="2:9" ht="25.5" customHeight="1" x14ac:dyDescent="0.25">
      <c r="B30" s="815" t="s">
        <v>659</v>
      </c>
      <c r="C30" s="815"/>
    </row>
    <row r="31" spans="2:9" ht="15.75" customHeight="1" x14ac:dyDescent="0.25">
      <c r="B31" s="815" t="s">
        <v>84</v>
      </c>
      <c r="C31" s="815"/>
      <c r="G31" s="5"/>
    </row>
    <row r="32" spans="2:9" ht="25.5" customHeight="1" x14ac:dyDescent="0.25">
      <c r="G32" s="5"/>
    </row>
    <row r="33" spans="3:7" ht="25.5" customHeight="1" x14ac:dyDescent="0.25">
      <c r="C33"/>
      <c r="F33" s="57"/>
      <c r="G33" s="58"/>
    </row>
  </sheetData>
  <mergeCells count="8">
    <mergeCell ref="B30:C30"/>
    <mergeCell ref="B31:C31"/>
    <mergeCell ref="A1:F1"/>
    <mergeCell ref="A2:F2"/>
    <mergeCell ref="A3:F3"/>
    <mergeCell ref="A4:F4"/>
    <mergeCell ref="A5:F5"/>
    <mergeCell ref="A6:F6"/>
  </mergeCells>
  <pageMargins left="0.31496062992125984" right="0.11811023622047245" top="0.55118110236220474" bottom="0.27559055118110237" header="0.15748031496062992" footer="0.19685039370078741"/>
  <pageSetup scale="70" orientation="portrait" r:id="rId1"/>
  <colBreaks count="1" manualBreakCount="1">
    <brk id="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EF3E-0948-4A7F-9C56-30E2AA08A6E9}">
  <dimension ref="A1:J34"/>
  <sheetViews>
    <sheetView tabSelected="1" view="pageBreakPreview" topLeftCell="A22" zoomScale="80" zoomScaleNormal="98" zoomScaleSheetLayoutView="80" workbookViewId="0">
      <selection activeCell="C31" sqref="C31"/>
    </sheetView>
  </sheetViews>
  <sheetFormatPr baseColWidth="10" defaultColWidth="11.42578125" defaultRowHeight="15" x14ac:dyDescent="0.25"/>
  <cols>
    <col min="1" max="1" width="1" customWidth="1"/>
    <col min="2" max="2" width="34.140625" customWidth="1"/>
    <col min="3" max="3" width="62.85546875" customWidth="1"/>
    <col min="4" max="4" width="25.28515625" style="4" customWidth="1"/>
    <col min="5" max="5" width="17.140625" style="59" customWidth="1"/>
    <col min="6" max="6" width="18.42578125" style="59" customWidth="1"/>
    <col min="7" max="7" width="14.85546875" style="59" customWidth="1"/>
    <col min="8" max="8" width="17.28515625" style="59" customWidth="1"/>
    <col min="9" max="9" width="17" style="59" customWidth="1"/>
    <col min="10" max="10" width="15.42578125" customWidth="1"/>
  </cols>
  <sheetData>
    <row r="1" spans="2:10" ht="18.75" customHeight="1" x14ac:dyDescent="0.25">
      <c r="E1" s="894"/>
      <c r="F1" s="894"/>
      <c r="G1" s="894"/>
      <c r="H1" s="894"/>
    </row>
    <row r="2" spans="2:10" ht="45" customHeight="1" x14ac:dyDescent="0.75">
      <c r="B2" s="895" t="s">
        <v>108</v>
      </c>
      <c r="C2" s="895"/>
      <c r="D2" s="895"/>
      <c r="E2" s="895"/>
      <c r="F2" s="895"/>
      <c r="G2" s="895"/>
      <c r="H2" s="895"/>
      <c r="I2" s="895"/>
      <c r="J2" s="895"/>
    </row>
    <row r="3" spans="2:10" ht="24" customHeight="1" x14ac:dyDescent="0.4">
      <c r="B3" s="892"/>
      <c r="C3" s="892"/>
      <c r="D3" s="892"/>
      <c r="E3" s="892"/>
      <c r="F3" s="892"/>
      <c r="G3" s="892"/>
      <c r="H3" s="892"/>
      <c r="I3" s="892"/>
      <c r="J3" s="892"/>
    </row>
    <row r="4" spans="2:10" ht="32.25" customHeight="1" x14ac:dyDescent="0.5">
      <c r="B4" s="896" t="s">
        <v>840</v>
      </c>
      <c r="C4" s="896"/>
      <c r="D4" s="896"/>
      <c r="E4" s="896"/>
      <c r="F4" s="896"/>
      <c r="G4" s="896"/>
      <c r="H4" s="896"/>
      <c r="I4" s="896"/>
      <c r="J4" s="896"/>
    </row>
    <row r="5" spans="2:10" ht="22.5" customHeight="1" thickBot="1" x14ac:dyDescent="0.3"/>
    <row r="6" spans="2:10" s="20" customFormat="1" ht="49.5" customHeight="1" thickBot="1" x14ac:dyDescent="0.25">
      <c r="B6" s="395" t="s">
        <v>128</v>
      </c>
      <c r="C6" s="395" t="s">
        <v>130</v>
      </c>
      <c r="D6" s="395" t="s">
        <v>303</v>
      </c>
      <c r="E6" s="395" t="s">
        <v>304</v>
      </c>
      <c r="F6" s="395" t="s">
        <v>305</v>
      </c>
      <c r="G6" s="395" t="s">
        <v>306</v>
      </c>
      <c r="H6" s="395" t="s">
        <v>307</v>
      </c>
      <c r="I6" s="395" t="s">
        <v>308</v>
      </c>
      <c r="J6" s="395" t="s">
        <v>309</v>
      </c>
    </row>
    <row r="7" spans="2:10" s="20" customFormat="1" ht="29.25" customHeight="1" x14ac:dyDescent="0.2">
      <c r="B7" s="506" t="s">
        <v>132</v>
      </c>
      <c r="C7" s="600" t="s">
        <v>554</v>
      </c>
      <c r="D7" s="507" t="s">
        <v>131</v>
      </c>
      <c r="E7" s="508">
        <v>42710</v>
      </c>
      <c r="F7" s="509">
        <v>66544.009999999995</v>
      </c>
      <c r="G7" s="508">
        <v>42740</v>
      </c>
      <c r="H7" s="601">
        <v>0</v>
      </c>
      <c r="I7" s="509">
        <f>+F7-H7</f>
        <v>66544.009999999995</v>
      </c>
      <c r="J7" s="510" t="s">
        <v>310</v>
      </c>
    </row>
    <row r="8" spans="2:10" s="20" customFormat="1" ht="48.75" customHeight="1" x14ac:dyDescent="0.2">
      <c r="B8" s="546" t="s">
        <v>688</v>
      </c>
      <c r="C8" s="592" t="s">
        <v>691</v>
      </c>
      <c r="D8" s="571" t="s">
        <v>689</v>
      </c>
      <c r="E8" s="432">
        <v>45901</v>
      </c>
      <c r="F8" s="433">
        <v>5015617.92</v>
      </c>
      <c r="G8" s="432">
        <v>45930</v>
      </c>
      <c r="H8" s="545">
        <v>0</v>
      </c>
      <c r="I8" s="433">
        <f t="shared" ref="I8:I27" si="0">+F8-H8</f>
        <v>5015617.92</v>
      </c>
      <c r="J8" s="547" t="s">
        <v>310</v>
      </c>
    </row>
    <row r="9" spans="2:10" s="20" customFormat="1" ht="40.5" customHeight="1" x14ac:dyDescent="0.2">
      <c r="B9" s="546" t="s">
        <v>688</v>
      </c>
      <c r="C9" s="592" t="s">
        <v>690</v>
      </c>
      <c r="D9" s="571" t="s">
        <v>687</v>
      </c>
      <c r="E9" s="432">
        <v>45931</v>
      </c>
      <c r="F9" s="433">
        <v>1003123.84</v>
      </c>
      <c r="G9" s="432">
        <v>45961</v>
      </c>
      <c r="H9" s="545">
        <v>0</v>
      </c>
      <c r="I9" s="433">
        <f t="shared" si="0"/>
        <v>1003123.84</v>
      </c>
      <c r="J9" s="547" t="s">
        <v>310</v>
      </c>
    </row>
    <row r="10" spans="2:10" s="20" customFormat="1" ht="40.5" customHeight="1" x14ac:dyDescent="0.2">
      <c r="B10" s="546" t="s">
        <v>688</v>
      </c>
      <c r="C10" s="592" t="s">
        <v>696</v>
      </c>
      <c r="D10" s="571" t="s">
        <v>695</v>
      </c>
      <c r="E10" s="432">
        <v>45962</v>
      </c>
      <c r="F10" s="433">
        <v>1012252.26</v>
      </c>
      <c r="G10" s="432">
        <v>45991</v>
      </c>
      <c r="H10" s="545">
        <v>0</v>
      </c>
      <c r="I10" s="433">
        <f t="shared" si="0"/>
        <v>1012252.26</v>
      </c>
      <c r="J10" s="547" t="s">
        <v>310</v>
      </c>
    </row>
    <row r="11" spans="2:10" s="20" customFormat="1" ht="40.5" customHeight="1" x14ac:dyDescent="0.2">
      <c r="B11" s="546" t="s">
        <v>688</v>
      </c>
      <c r="C11" s="592" t="s">
        <v>703</v>
      </c>
      <c r="D11" s="571" t="s">
        <v>702</v>
      </c>
      <c r="E11" s="432">
        <v>45992</v>
      </c>
      <c r="F11" s="433">
        <v>1006006.25</v>
      </c>
      <c r="G11" s="432">
        <v>46021</v>
      </c>
      <c r="H11" s="545">
        <v>0</v>
      </c>
      <c r="I11" s="433">
        <f t="shared" si="0"/>
        <v>1006006.25</v>
      </c>
      <c r="J11" s="547" t="s">
        <v>310</v>
      </c>
    </row>
    <row r="12" spans="2:10" s="20" customFormat="1" ht="40.5" customHeight="1" x14ac:dyDescent="0.2">
      <c r="B12" s="546" t="s">
        <v>688</v>
      </c>
      <c r="C12" s="592" t="s">
        <v>706</v>
      </c>
      <c r="D12" s="571" t="s">
        <v>705</v>
      </c>
      <c r="E12" s="432">
        <v>46031</v>
      </c>
      <c r="F12" s="433">
        <v>876591.93</v>
      </c>
      <c r="G12" s="432">
        <v>46052</v>
      </c>
      <c r="H12" s="545">
        <v>0</v>
      </c>
      <c r="I12" s="433">
        <f t="shared" si="0"/>
        <v>876591.93</v>
      </c>
      <c r="J12" s="547" t="s">
        <v>310</v>
      </c>
    </row>
    <row r="13" spans="2:10" s="20" customFormat="1" ht="40.5" customHeight="1" x14ac:dyDescent="0.2">
      <c r="B13" s="546" t="s">
        <v>688</v>
      </c>
      <c r="C13" s="592" t="s">
        <v>706</v>
      </c>
      <c r="D13" s="571" t="s">
        <v>708</v>
      </c>
      <c r="E13" s="432">
        <v>46031</v>
      </c>
      <c r="F13" s="433">
        <v>117599.4</v>
      </c>
      <c r="G13" s="432">
        <v>46052</v>
      </c>
      <c r="H13" s="545">
        <v>0</v>
      </c>
      <c r="I13" s="433">
        <f t="shared" si="0"/>
        <v>117599.4</v>
      </c>
      <c r="J13" s="547" t="s">
        <v>310</v>
      </c>
    </row>
    <row r="14" spans="2:10" s="20" customFormat="1" ht="47.25" customHeight="1" x14ac:dyDescent="0.2">
      <c r="B14" s="602" t="s">
        <v>688</v>
      </c>
      <c r="C14" s="592" t="s">
        <v>719</v>
      </c>
      <c r="D14" s="544" t="s">
        <v>721</v>
      </c>
      <c r="E14" s="432">
        <v>46057</v>
      </c>
      <c r="F14" s="433">
        <v>869536.92</v>
      </c>
      <c r="G14" s="432">
        <v>46062</v>
      </c>
      <c r="H14" s="545">
        <v>0</v>
      </c>
      <c r="I14" s="433">
        <f t="shared" si="0"/>
        <v>869536.92</v>
      </c>
      <c r="J14" s="547" t="s">
        <v>310</v>
      </c>
    </row>
    <row r="15" spans="2:10" s="20" customFormat="1" ht="40.5" customHeight="1" x14ac:dyDescent="0.2">
      <c r="B15" s="602" t="s">
        <v>688</v>
      </c>
      <c r="C15" s="592" t="s">
        <v>719</v>
      </c>
      <c r="D15" s="544" t="s">
        <v>722</v>
      </c>
      <c r="E15" s="432">
        <v>46057</v>
      </c>
      <c r="F15" s="433">
        <v>116652.94</v>
      </c>
      <c r="G15" s="432">
        <v>46062</v>
      </c>
      <c r="H15" s="545">
        <v>0</v>
      </c>
      <c r="I15" s="433">
        <f t="shared" si="0"/>
        <v>116652.94</v>
      </c>
      <c r="J15" s="547" t="s">
        <v>310</v>
      </c>
    </row>
    <row r="16" spans="2:10" s="20" customFormat="1" ht="40.5" customHeight="1" x14ac:dyDescent="0.2">
      <c r="B16" s="708" t="s">
        <v>688</v>
      </c>
      <c r="C16" s="592" t="s">
        <v>733</v>
      </c>
      <c r="D16" s="544" t="s">
        <v>731</v>
      </c>
      <c r="E16" s="432">
        <v>46085</v>
      </c>
      <c r="F16" s="433">
        <v>819319.87</v>
      </c>
      <c r="G16" s="432">
        <v>46090</v>
      </c>
      <c r="H16" s="545">
        <v>0</v>
      </c>
      <c r="I16" s="433">
        <f t="shared" si="0"/>
        <v>819319.87</v>
      </c>
      <c r="J16" s="547" t="s">
        <v>310</v>
      </c>
    </row>
    <row r="17" spans="1:10" s="20" customFormat="1" ht="40.5" customHeight="1" x14ac:dyDescent="0.2">
      <c r="B17" s="708" t="s">
        <v>688</v>
      </c>
      <c r="C17" s="592" t="s">
        <v>733</v>
      </c>
      <c r="D17" s="544" t="s">
        <v>732</v>
      </c>
      <c r="E17" s="432">
        <v>46085</v>
      </c>
      <c r="F17" s="433">
        <v>109916.06</v>
      </c>
      <c r="G17" s="432">
        <v>46090</v>
      </c>
      <c r="H17" s="545">
        <v>0</v>
      </c>
      <c r="I17" s="433">
        <f t="shared" si="0"/>
        <v>109916.06</v>
      </c>
      <c r="J17" s="547" t="s">
        <v>310</v>
      </c>
    </row>
    <row r="18" spans="1:10" s="20" customFormat="1" ht="40.5" customHeight="1" x14ac:dyDescent="0.2">
      <c r="B18" s="708" t="s">
        <v>688</v>
      </c>
      <c r="C18" s="592" t="s">
        <v>767</v>
      </c>
      <c r="D18" s="544" t="s">
        <v>765</v>
      </c>
      <c r="E18" s="432">
        <v>46118</v>
      </c>
      <c r="F18" s="433">
        <v>836842.01</v>
      </c>
      <c r="G18" s="432">
        <v>46125</v>
      </c>
      <c r="H18" s="545">
        <v>0</v>
      </c>
      <c r="I18" s="433">
        <f t="shared" si="0"/>
        <v>836842.01</v>
      </c>
      <c r="J18" s="547" t="s">
        <v>671</v>
      </c>
    </row>
    <row r="19" spans="1:10" s="20" customFormat="1" ht="40.5" customHeight="1" x14ac:dyDescent="0.2">
      <c r="B19" s="708" t="s">
        <v>688</v>
      </c>
      <c r="C19" s="592" t="s">
        <v>767</v>
      </c>
      <c r="D19" s="544" t="s">
        <v>766</v>
      </c>
      <c r="E19" s="432">
        <v>46118</v>
      </c>
      <c r="F19" s="433">
        <v>112266.75</v>
      </c>
      <c r="G19" s="432">
        <v>46125</v>
      </c>
      <c r="H19" s="545">
        <v>0</v>
      </c>
      <c r="I19" s="433">
        <f t="shared" si="0"/>
        <v>112266.75</v>
      </c>
      <c r="J19" s="547" t="s">
        <v>671</v>
      </c>
    </row>
    <row r="20" spans="1:10" s="20" customFormat="1" ht="48.75" customHeight="1" x14ac:dyDescent="0.2">
      <c r="B20" s="708" t="s">
        <v>805</v>
      </c>
      <c r="C20" s="592" t="s">
        <v>806</v>
      </c>
      <c r="D20" s="544">
        <v>7</v>
      </c>
      <c r="E20" s="432">
        <v>46132</v>
      </c>
      <c r="F20" s="433">
        <v>239426.8</v>
      </c>
      <c r="G20" s="432">
        <v>46162</v>
      </c>
      <c r="H20" s="545">
        <v>239426.8</v>
      </c>
      <c r="I20" s="433">
        <f t="shared" si="0"/>
        <v>0</v>
      </c>
      <c r="J20" s="547" t="s">
        <v>718</v>
      </c>
    </row>
    <row r="21" spans="1:10" s="20" customFormat="1" ht="40.5" customHeight="1" x14ac:dyDescent="0.2">
      <c r="B21" s="708" t="s">
        <v>677</v>
      </c>
      <c r="C21" s="592" t="s">
        <v>809</v>
      </c>
      <c r="D21" s="544" t="s">
        <v>808</v>
      </c>
      <c r="E21" s="432">
        <v>46132</v>
      </c>
      <c r="F21" s="433">
        <v>22974</v>
      </c>
      <c r="G21" s="432">
        <v>46173</v>
      </c>
      <c r="H21" s="545">
        <v>22974</v>
      </c>
      <c r="I21" s="433">
        <f t="shared" si="0"/>
        <v>0</v>
      </c>
      <c r="J21" s="547" t="s">
        <v>718</v>
      </c>
    </row>
    <row r="22" spans="1:10" s="20" customFormat="1" ht="78" customHeight="1" x14ac:dyDescent="0.2">
      <c r="B22" s="602" t="s">
        <v>720</v>
      </c>
      <c r="C22" s="592" t="s">
        <v>810</v>
      </c>
      <c r="D22" s="544" t="s">
        <v>807</v>
      </c>
      <c r="E22" s="432">
        <v>46140</v>
      </c>
      <c r="F22" s="433">
        <v>10030</v>
      </c>
      <c r="G22" s="432">
        <v>46170</v>
      </c>
      <c r="H22" s="545">
        <v>10030</v>
      </c>
      <c r="I22" s="433">
        <f t="shared" si="0"/>
        <v>0</v>
      </c>
      <c r="J22" s="547" t="s">
        <v>718</v>
      </c>
    </row>
    <row r="23" spans="1:10" s="20" customFormat="1" ht="40.5" customHeight="1" x14ac:dyDescent="0.2">
      <c r="B23" s="546" t="s">
        <v>709</v>
      </c>
      <c r="C23" s="592" t="s">
        <v>812</v>
      </c>
      <c r="D23" s="544" t="s">
        <v>811</v>
      </c>
      <c r="E23" s="432">
        <v>46139</v>
      </c>
      <c r="F23" s="433">
        <v>6050.56</v>
      </c>
      <c r="G23" s="432">
        <v>46169</v>
      </c>
      <c r="H23" s="545">
        <v>6050.56</v>
      </c>
      <c r="I23" s="433">
        <f t="shared" si="0"/>
        <v>0</v>
      </c>
      <c r="J23" s="547" t="s">
        <v>718</v>
      </c>
    </row>
    <row r="24" spans="1:10" s="20" customFormat="1" ht="40.5" customHeight="1" x14ac:dyDescent="0.2">
      <c r="B24" s="729" t="s">
        <v>929</v>
      </c>
      <c r="C24" s="725" t="s">
        <v>926</v>
      </c>
      <c r="D24" s="726" t="s">
        <v>924</v>
      </c>
      <c r="E24" s="727">
        <v>46139</v>
      </c>
      <c r="F24" s="433">
        <v>43683.6</v>
      </c>
      <c r="G24" s="727">
        <v>46169</v>
      </c>
      <c r="H24" s="728">
        <v>43683.6</v>
      </c>
      <c r="I24" s="433">
        <f t="shared" si="0"/>
        <v>0</v>
      </c>
      <c r="J24" s="547" t="s">
        <v>718</v>
      </c>
    </row>
    <row r="25" spans="1:10" s="20" customFormat="1" ht="40.5" customHeight="1" x14ac:dyDescent="0.2">
      <c r="B25" s="729" t="s">
        <v>930</v>
      </c>
      <c r="C25" s="592" t="s">
        <v>927</v>
      </c>
      <c r="D25" s="544" t="s">
        <v>925</v>
      </c>
      <c r="E25" s="432">
        <v>46141</v>
      </c>
      <c r="F25" s="433">
        <v>29530.09</v>
      </c>
      <c r="G25" s="432">
        <v>46171</v>
      </c>
      <c r="H25" s="545">
        <v>29530.09</v>
      </c>
      <c r="I25" s="433">
        <f t="shared" si="0"/>
        <v>0</v>
      </c>
      <c r="J25" s="547" t="s">
        <v>718</v>
      </c>
    </row>
    <row r="26" spans="1:10" s="20" customFormat="1" ht="60" customHeight="1" x14ac:dyDescent="0.2">
      <c r="B26" s="729" t="s">
        <v>931</v>
      </c>
      <c r="C26" s="592" t="s">
        <v>928</v>
      </c>
      <c r="D26" s="544" t="s">
        <v>721</v>
      </c>
      <c r="E26" s="432">
        <v>46141</v>
      </c>
      <c r="F26" s="433">
        <v>26314</v>
      </c>
      <c r="G26" s="432">
        <v>46171</v>
      </c>
      <c r="H26" s="545">
        <v>26314</v>
      </c>
      <c r="I26" s="433">
        <f t="shared" si="0"/>
        <v>0</v>
      </c>
      <c r="J26" s="547" t="s">
        <v>718</v>
      </c>
    </row>
    <row r="27" spans="1:10" s="59" customFormat="1" ht="36.75" customHeight="1" thickBot="1" x14ac:dyDescent="0.3">
      <c r="A27" s="362"/>
      <c r="B27" s="573" t="s">
        <v>216</v>
      </c>
      <c r="C27" s="603" t="s">
        <v>216</v>
      </c>
      <c r="D27" s="572" t="s">
        <v>290</v>
      </c>
      <c r="E27" s="580">
        <v>46112</v>
      </c>
      <c r="F27" s="433">
        <f>16170.63+3338.03+5588.84</f>
        <v>25097.5</v>
      </c>
      <c r="G27" s="580">
        <v>46173</v>
      </c>
      <c r="H27" s="581">
        <f>+ED!H167</f>
        <v>21817.4</v>
      </c>
      <c r="I27" s="574">
        <f t="shared" si="0"/>
        <v>3280.0999999999985</v>
      </c>
      <c r="J27" s="547" t="s">
        <v>671</v>
      </c>
    </row>
    <row r="28" spans="1:10" s="59" customFormat="1" ht="36" customHeight="1" thickBot="1" x14ac:dyDescent="0.3">
      <c r="A28" s="362"/>
      <c r="B28" s="604" t="s">
        <v>26</v>
      </c>
      <c r="C28" s="617"/>
      <c r="D28" s="618"/>
      <c r="E28" s="619"/>
      <c r="F28" s="620">
        <f>SUM(F7:F27)</f>
        <v>12365376.709999999</v>
      </c>
      <c r="G28" s="621"/>
      <c r="H28" s="620">
        <f>SUM(H7:H27)</f>
        <v>399826.45</v>
      </c>
      <c r="I28" s="621">
        <f>SUM(I7:I27)</f>
        <v>11965550.259999998</v>
      </c>
      <c r="J28" s="620"/>
    </row>
    <row r="29" spans="1:10" s="59" customFormat="1" ht="18.75" customHeight="1" x14ac:dyDescent="0.25">
      <c r="A29" s="362"/>
      <c r="B29" s="33"/>
      <c r="C29" s="594"/>
      <c r="D29" s="594"/>
      <c r="E29" s="594"/>
      <c r="F29" s="595"/>
      <c r="G29" s="595"/>
      <c r="H29" s="595"/>
      <c r="I29" s="595"/>
      <c r="J29" s="595"/>
    </row>
    <row r="30" spans="1:10" s="59" customFormat="1" ht="33.75" customHeight="1" x14ac:dyDescent="0.25">
      <c r="A30" s="362"/>
      <c r="B30" s="33"/>
      <c r="C30" s="594"/>
      <c r="D30" s="594"/>
      <c r="E30" s="594"/>
      <c r="F30" s="595"/>
      <c r="G30" s="595"/>
      <c r="H30" s="595"/>
      <c r="I30" s="595"/>
      <c r="J30" s="595"/>
    </row>
    <row r="31" spans="1:10" ht="22.5" customHeight="1" x14ac:dyDescent="0.25">
      <c r="A31" s="362"/>
      <c r="B31" s="4" t="s">
        <v>659</v>
      </c>
      <c r="C31" s="4"/>
      <c r="E31" s="84"/>
      <c r="G31" s="33"/>
      <c r="H31" s="74"/>
      <c r="J31" s="5"/>
    </row>
    <row r="32" spans="1:10" ht="15" customHeight="1" x14ac:dyDescent="0.25">
      <c r="A32" s="362"/>
      <c r="B32" s="4" t="s">
        <v>84</v>
      </c>
      <c r="C32" s="596"/>
      <c r="D32" s="59"/>
      <c r="E32" s="597"/>
      <c r="F32" s="598"/>
      <c r="G32" s="597"/>
    </row>
    <row r="33" spans="1:10" x14ac:dyDescent="0.25">
      <c r="A33" s="362"/>
      <c r="J33" s="5"/>
    </row>
    <row r="34" spans="1:10" x14ac:dyDescent="0.25">
      <c r="A34" s="59"/>
      <c r="I34" s="60"/>
      <c r="J34" s="599"/>
    </row>
  </sheetData>
  <mergeCells count="4">
    <mergeCell ref="E1:H1"/>
    <mergeCell ref="B2:J2"/>
    <mergeCell ref="B3:J3"/>
    <mergeCell ref="B4:J4"/>
  </mergeCells>
  <printOptions horizontalCentered="1"/>
  <pageMargins left="0.15748031496062992" right="7.874015748031496E-2" top="0.35433070866141736" bottom="0.35433070866141736" header="0.31496062992125984" footer="0.62992125984251968"/>
  <pageSetup scale="5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7B6D-1414-4475-95B2-C922C97480DF}">
  <dimension ref="A1:J29"/>
  <sheetViews>
    <sheetView view="pageBreakPreview" topLeftCell="A18" zoomScale="80" zoomScaleNormal="98" zoomScaleSheetLayoutView="80" workbookViewId="0">
      <selection activeCell="H24" sqref="H24"/>
    </sheetView>
  </sheetViews>
  <sheetFormatPr baseColWidth="10" defaultColWidth="11.42578125" defaultRowHeight="15" x14ac:dyDescent="0.25"/>
  <cols>
    <col min="1" max="1" width="1" customWidth="1"/>
    <col min="2" max="2" width="34.140625" customWidth="1"/>
    <col min="3" max="3" width="62.85546875" customWidth="1"/>
    <col min="4" max="4" width="25.28515625" style="4" customWidth="1"/>
    <col min="5" max="5" width="17.140625" style="59" customWidth="1"/>
    <col min="6" max="6" width="18.42578125" style="59" customWidth="1"/>
    <col min="7" max="7" width="14.85546875" style="59" customWidth="1"/>
    <col min="8" max="8" width="17.28515625" style="59" customWidth="1"/>
    <col min="9" max="9" width="17" style="59" customWidth="1"/>
    <col min="10" max="10" width="15.42578125" customWidth="1"/>
  </cols>
  <sheetData>
    <row r="1" spans="2:10" ht="11.25" customHeight="1" x14ac:dyDescent="0.25">
      <c r="E1" s="894"/>
      <c r="F1" s="894"/>
      <c r="G1" s="894"/>
      <c r="H1" s="894"/>
    </row>
    <row r="2" spans="2:10" ht="45" customHeight="1" x14ac:dyDescent="0.75">
      <c r="B2" s="895" t="s">
        <v>108</v>
      </c>
      <c r="C2" s="895"/>
      <c r="D2" s="895"/>
      <c r="E2" s="895"/>
      <c r="F2" s="895"/>
      <c r="G2" s="895"/>
      <c r="H2" s="895"/>
      <c r="I2" s="895"/>
      <c r="J2" s="895"/>
    </row>
    <row r="3" spans="2:10" ht="24" customHeight="1" x14ac:dyDescent="0.4">
      <c r="B3" s="892"/>
      <c r="C3" s="892"/>
      <c r="D3" s="892"/>
      <c r="E3" s="892"/>
      <c r="F3" s="892"/>
      <c r="G3" s="892"/>
      <c r="H3" s="892"/>
      <c r="I3" s="892"/>
      <c r="J3" s="892"/>
    </row>
    <row r="4" spans="2:10" ht="32.25" customHeight="1" x14ac:dyDescent="0.5">
      <c r="B4" s="896" t="s">
        <v>764</v>
      </c>
      <c r="C4" s="896"/>
      <c r="D4" s="896"/>
      <c r="E4" s="896"/>
      <c r="F4" s="896"/>
      <c r="G4" s="896"/>
      <c r="H4" s="896"/>
      <c r="I4" s="896"/>
      <c r="J4" s="896"/>
    </row>
    <row r="5" spans="2:10" ht="22.5" customHeight="1" thickBot="1" x14ac:dyDescent="0.3"/>
    <row r="6" spans="2:10" s="20" customFormat="1" ht="49.5" customHeight="1" thickBot="1" x14ac:dyDescent="0.25">
      <c r="B6" s="395" t="s">
        <v>128</v>
      </c>
      <c r="C6" s="395" t="s">
        <v>130</v>
      </c>
      <c r="D6" s="395" t="s">
        <v>303</v>
      </c>
      <c r="E6" s="395" t="s">
        <v>304</v>
      </c>
      <c r="F6" s="395" t="s">
        <v>305</v>
      </c>
      <c r="G6" s="395" t="s">
        <v>306</v>
      </c>
      <c r="H6" s="395" t="s">
        <v>307</v>
      </c>
      <c r="I6" s="395" t="s">
        <v>308</v>
      </c>
      <c r="J6" s="395" t="s">
        <v>309</v>
      </c>
    </row>
    <row r="7" spans="2:10" s="20" customFormat="1" ht="29.25" customHeight="1" x14ac:dyDescent="0.2">
      <c r="B7" s="506" t="s">
        <v>132</v>
      </c>
      <c r="C7" s="600" t="s">
        <v>554</v>
      </c>
      <c r="D7" s="507" t="s">
        <v>131</v>
      </c>
      <c r="E7" s="508">
        <v>42710</v>
      </c>
      <c r="F7" s="509">
        <v>66544.009999999995</v>
      </c>
      <c r="G7" s="508">
        <v>42740</v>
      </c>
      <c r="H7" s="601">
        <v>0</v>
      </c>
      <c r="I7" s="509">
        <f>+F7-H7</f>
        <v>66544.009999999995</v>
      </c>
      <c r="J7" s="510" t="s">
        <v>310</v>
      </c>
    </row>
    <row r="8" spans="2:10" s="20" customFormat="1" ht="48.75" customHeight="1" x14ac:dyDescent="0.2">
      <c r="B8" s="546" t="s">
        <v>688</v>
      </c>
      <c r="C8" s="592" t="s">
        <v>691</v>
      </c>
      <c r="D8" s="571" t="s">
        <v>689</v>
      </c>
      <c r="E8" s="432">
        <v>45901</v>
      </c>
      <c r="F8" s="433">
        <v>5015617.92</v>
      </c>
      <c r="G8" s="432">
        <v>45930</v>
      </c>
      <c r="H8" s="545">
        <v>0</v>
      </c>
      <c r="I8" s="433">
        <f t="shared" ref="I8:I21" si="0">+F8-H8</f>
        <v>5015617.92</v>
      </c>
      <c r="J8" s="547" t="s">
        <v>310</v>
      </c>
    </row>
    <row r="9" spans="2:10" s="20" customFormat="1" ht="40.5" customHeight="1" x14ac:dyDescent="0.2">
      <c r="B9" s="546" t="s">
        <v>688</v>
      </c>
      <c r="C9" s="592" t="s">
        <v>690</v>
      </c>
      <c r="D9" s="571" t="s">
        <v>687</v>
      </c>
      <c r="E9" s="432">
        <v>45931</v>
      </c>
      <c r="F9" s="433">
        <v>1003123.84</v>
      </c>
      <c r="G9" s="432">
        <v>45961</v>
      </c>
      <c r="H9" s="545">
        <v>0</v>
      </c>
      <c r="I9" s="433">
        <f t="shared" si="0"/>
        <v>1003123.84</v>
      </c>
      <c r="J9" s="547" t="s">
        <v>310</v>
      </c>
    </row>
    <row r="10" spans="2:10" s="20" customFormat="1" ht="40.5" customHeight="1" x14ac:dyDescent="0.2">
      <c r="B10" s="546" t="s">
        <v>688</v>
      </c>
      <c r="C10" s="592" t="s">
        <v>696</v>
      </c>
      <c r="D10" s="571" t="s">
        <v>695</v>
      </c>
      <c r="E10" s="432">
        <v>45962</v>
      </c>
      <c r="F10" s="433">
        <v>1012252.26</v>
      </c>
      <c r="G10" s="432">
        <v>45991</v>
      </c>
      <c r="H10" s="545">
        <v>0</v>
      </c>
      <c r="I10" s="433">
        <f t="shared" si="0"/>
        <v>1012252.26</v>
      </c>
      <c r="J10" s="547" t="s">
        <v>310</v>
      </c>
    </row>
    <row r="11" spans="2:10" s="20" customFormat="1" ht="40.5" customHeight="1" x14ac:dyDescent="0.2">
      <c r="B11" s="546" t="s">
        <v>688</v>
      </c>
      <c r="C11" s="592" t="s">
        <v>703</v>
      </c>
      <c r="D11" s="571" t="s">
        <v>702</v>
      </c>
      <c r="E11" s="432">
        <v>45992</v>
      </c>
      <c r="F11" s="433">
        <v>1006006.25</v>
      </c>
      <c r="G11" s="432">
        <v>46021</v>
      </c>
      <c r="H11" s="545">
        <v>0</v>
      </c>
      <c r="I11" s="433">
        <f t="shared" si="0"/>
        <v>1006006.25</v>
      </c>
      <c r="J11" s="547" t="s">
        <v>310</v>
      </c>
    </row>
    <row r="12" spans="2:10" s="20" customFormat="1" ht="40.5" customHeight="1" x14ac:dyDescent="0.2">
      <c r="B12" s="546" t="s">
        <v>688</v>
      </c>
      <c r="C12" s="592" t="s">
        <v>706</v>
      </c>
      <c r="D12" s="571" t="s">
        <v>705</v>
      </c>
      <c r="E12" s="432">
        <v>46031</v>
      </c>
      <c r="F12" s="433">
        <v>876591.93</v>
      </c>
      <c r="G12" s="432">
        <v>46052</v>
      </c>
      <c r="H12" s="545">
        <v>0</v>
      </c>
      <c r="I12" s="433">
        <f t="shared" si="0"/>
        <v>876591.93</v>
      </c>
      <c r="J12" s="547" t="s">
        <v>310</v>
      </c>
    </row>
    <row r="13" spans="2:10" s="20" customFormat="1" ht="40.5" customHeight="1" x14ac:dyDescent="0.2">
      <c r="B13" s="546" t="s">
        <v>688</v>
      </c>
      <c r="C13" s="592" t="s">
        <v>706</v>
      </c>
      <c r="D13" s="571" t="s">
        <v>708</v>
      </c>
      <c r="E13" s="432">
        <v>46031</v>
      </c>
      <c r="F13" s="433">
        <v>117599.4</v>
      </c>
      <c r="G13" s="432">
        <v>46052</v>
      </c>
      <c r="H13" s="545">
        <v>0</v>
      </c>
      <c r="I13" s="433">
        <f t="shared" si="0"/>
        <v>117599.4</v>
      </c>
      <c r="J13" s="547" t="s">
        <v>310</v>
      </c>
    </row>
    <row r="14" spans="2:10" s="20" customFormat="1" ht="47.25" customHeight="1" x14ac:dyDescent="0.2">
      <c r="B14" s="602" t="s">
        <v>688</v>
      </c>
      <c r="C14" s="592" t="s">
        <v>719</v>
      </c>
      <c r="D14" s="544" t="s">
        <v>721</v>
      </c>
      <c r="E14" s="432">
        <v>46057</v>
      </c>
      <c r="F14" s="433">
        <v>869536.92</v>
      </c>
      <c r="G14" s="432">
        <v>46062</v>
      </c>
      <c r="H14" s="545">
        <v>0</v>
      </c>
      <c r="I14" s="433">
        <f t="shared" si="0"/>
        <v>869536.92</v>
      </c>
      <c r="J14" s="547" t="s">
        <v>310</v>
      </c>
    </row>
    <row r="15" spans="2:10" s="20" customFormat="1" ht="40.5" customHeight="1" x14ac:dyDescent="0.2">
      <c r="B15" s="602" t="s">
        <v>688</v>
      </c>
      <c r="C15" s="592" t="s">
        <v>719</v>
      </c>
      <c r="D15" s="544" t="s">
        <v>722</v>
      </c>
      <c r="E15" s="432">
        <v>46057</v>
      </c>
      <c r="F15" s="433">
        <v>116652.94</v>
      </c>
      <c r="G15" s="432">
        <v>46062</v>
      </c>
      <c r="H15" s="545">
        <v>0</v>
      </c>
      <c r="I15" s="433">
        <f t="shared" si="0"/>
        <v>116652.94</v>
      </c>
      <c r="J15" s="547" t="s">
        <v>310</v>
      </c>
    </row>
    <row r="16" spans="2:10" s="20" customFormat="1" ht="40.5" customHeight="1" x14ac:dyDescent="0.2">
      <c r="B16" s="576" t="s">
        <v>688</v>
      </c>
      <c r="C16" s="592" t="s">
        <v>733</v>
      </c>
      <c r="D16" s="544" t="s">
        <v>731</v>
      </c>
      <c r="E16" s="432">
        <v>46085</v>
      </c>
      <c r="F16" s="433">
        <v>819319.87</v>
      </c>
      <c r="G16" s="432">
        <v>46090</v>
      </c>
      <c r="H16" s="545">
        <v>0</v>
      </c>
      <c r="I16" s="433">
        <f t="shared" si="0"/>
        <v>819319.87</v>
      </c>
      <c r="J16" s="547" t="s">
        <v>671</v>
      </c>
    </row>
    <row r="17" spans="1:10" s="20" customFormat="1" ht="40.5" customHeight="1" x14ac:dyDescent="0.2">
      <c r="B17" s="576" t="s">
        <v>688</v>
      </c>
      <c r="C17" s="592" t="s">
        <v>733</v>
      </c>
      <c r="D17" s="544" t="s">
        <v>732</v>
      </c>
      <c r="E17" s="432">
        <v>46085</v>
      </c>
      <c r="F17" s="433">
        <v>109916.06</v>
      </c>
      <c r="G17" s="432">
        <v>46090</v>
      </c>
      <c r="H17" s="545">
        <v>0</v>
      </c>
      <c r="I17" s="433">
        <f t="shared" si="0"/>
        <v>109916.06</v>
      </c>
      <c r="J17" s="547" t="s">
        <v>671</v>
      </c>
    </row>
    <row r="18" spans="1:10" s="20" customFormat="1" ht="40.5" customHeight="1" x14ac:dyDescent="0.2">
      <c r="B18" s="602" t="s">
        <v>677</v>
      </c>
      <c r="C18" s="592" t="s">
        <v>742</v>
      </c>
      <c r="D18" s="544" t="s">
        <v>744</v>
      </c>
      <c r="E18" s="432">
        <v>46099</v>
      </c>
      <c r="F18" s="433">
        <v>22974</v>
      </c>
      <c r="G18" s="432">
        <v>46143</v>
      </c>
      <c r="H18" s="545">
        <v>22974</v>
      </c>
      <c r="I18" s="433">
        <f t="shared" si="0"/>
        <v>0</v>
      </c>
      <c r="J18" s="547" t="s">
        <v>718</v>
      </c>
    </row>
    <row r="19" spans="1:10" s="20" customFormat="1" ht="40.5" customHeight="1" x14ac:dyDescent="0.2">
      <c r="B19" s="546" t="s">
        <v>739</v>
      </c>
      <c r="C19" s="593" t="s">
        <v>740</v>
      </c>
      <c r="D19" s="544" t="s">
        <v>738</v>
      </c>
      <c r="E19" s="432">
        <v>46112</v>
      </c>
      <c r="F19" s="433">
        <v>26528</v>
      </c>
      <c r="G19" s="432">
        <v>46127</v>
      </c>
      <c r="H19" s="545">
        <v>26528</v>
      </c>
      <c r="I19" s="433">
        <f t="shared" si="0"/>
        <v>0</v>
      </c>
      <c r="J19" s="547" t="s">
        <v>718</v>
      </c>
    </row>
    <row r="20" spans="1:10" s="20" customFormat="1" ht="53.25" customHeight="1" x14ac:dyDescent="0.2">
      <c r="B20" s="546" t="s">
        <v>743</v>
      </c>
      <c r="C20" s="591" t="s">
        <v>707</v>
      </c>
      <c r="D20" s="544">
        <v>1</v>
      </c>
      <c r="E20" s="432">
        <v>46112</v>
      </c>
      <c r="F20" s="433">
        <v>131557.87</v>
      </c>
      <c r="G20" s="432">
        <v>46142</v>
      </c>
      <c r="H20" s="545">
        <v>131557.87</v>
      </c>
      <c r="I20" s="433">
        <f t="shared" si="0"/>
        <v>0</v>
      </c>
      <c r="J20" s="547" t="s">
        <v>718</v>
      </c>
    </row>
    <row r="21" spans="1:10" s="20" customFormat="1" ht="50.25" customHeight="1" x14ac:dyDescent="0.2">
      <c r="B21" s="546" t="s">
        <v>709</v>
      </c>
      <c r="C21" s="592" t="s">
        <v>742</v>
      </c>
      <c r="D21" s="571" t="s">
        <v>741</v>
      </c>
      <c r="E21" s="432">
        <v>46112</v>
      </c>
      <c r="F21" s="433">
        <v>6050.76</v>
      </c>
      <c r="G21" s="432">
        <v>46142</v>
      </c>
      <c r="H21" s="545">
        <v>6050.76</v>
      </c>
      <c r="I21" s="433">
        <f t="shared" si="0"/>
        <v>0</v>
      </c>
      <c r="J21" s="547" t="s">
        <v>718</v>
      </c>
    </row>
    <row r="22" spans="1:10" s="59" customFormat="1" ht="36.75" customHeight="1" thickBot="1" x14ac:dyDescent="0.3">
      <c r="A22" s="362"/>
      <c r="B22" s="573" t="s">
        <v>216</v>
      </c>
      <c r="C22" s="603" t="s">
        <v>216</v>
      </c>
      <c r="D22" s="572" t="s">
        <v>290</v>
      </c>
      <c r="E22" s="580">
        <v>46112</v>
      </c>
      <c r="F22" s="574">
        <v>16170.63</v>
      </c>
      <c r="G22" s="580">
        <v>46142</v>
      </c>
      <c r="H22" s="581">
        <v>0</v>
      </c>
      <c r="I22" s="574">
        <f t="shared" ref="I22" si="1">+F22-H22</f>
        <v>16170.63</v>
      </c>
      <c r="J22" s="575" t="s">
        <v>671</v>
      </c>
    </row>
    <row r="23" spans="1:10" s="59" customFormat="1" ht="36" customHeight="1" thickBot="1" x14ac:dyDescent="0.3">
      <c r="A23" s="362"/>
      <c r="B23" s="604" t="s">
        <v>26</v>
      </c>
      <c r="C23" s="617"/>
      <c r="D23" s="618"/>
      <c r="E23" s="619"/>
      <c r="F23" s="620">
        <f>SUM(F7:F22)</f>
        <v>11216442.659999998</v>
      </c>
      <c r="G23" s="621"/>
      <c r="H23" s="620">
        <f>SUM(H7:H22)</f>
        <v>187110.63</v>
      </c>
      <c r="I23" s="621">
        <f>SUM(I7:I22)</f>
        <v>11029332.029999999</v>
      </c>
      <c r="J23" s="620"/>
    </row>
    <row r="24" spans="1:10" s="59" customFormat="1" ht="18.75" customHeight="1" x14ac:dyDescent="0.25">
      <c r="A24" s="362"/>
      <c r="B24" s="33"/>
      <c r="C24" s="594"/>
      <c r="D24" s="594"/>
      <c r="E24" s="594"/>
      <c r="F24" s="595"/>
      <c r="G24" s="595"/>
      <c r="H24" s="595"/>
      <c r="I24" s="595"/>
      <c r="J24" s="595"/>
    </row>
    <row r="25" spans="1:10" s="59" customFormat="1" ht="33.75" customHeight="1" x14ac:dyDescent="0.25">
      <c r="A25" s="362"/>
      <c r="B25" s="33"/>
      <c r="C25" s="594"/>
      <c r="D25" s="594"/>
      <c r="E25" s="594"/>
      <c r="F25" s="595"/>
      <c r="G25" s="595"/>
      <c r="H25" s="595"/>
      <c r="I25" s="595"/>
      <c r="J25" s="595"/>
    </row>
    <row r="26" spans="1:10" ht="22.5" customHeight="1" x14ac:dyDescent="0.25">
      <c r="A26" s="362"/>
      <c r="B26" s="4" t="s">
        <v>659</v>
      </c>
      <c r="C26" s="4"/>
      <c r="E26" s="84"/>
      <c r="G26" s="33"/>
      <c r="H26" s="74"/>
      <c r="J26" s="5"/>
    </row>
    <row r="27" spans="1:10" ht="15" customHeight="1" x14ac:dyDescent="0.25">
      <c r="A27" s="362"/>
      <c r="B27" s="4" t="s">
        <v>84</v>
      </c>
      <c r="C27" s="596"/>
      <c r="D27" s="59"/>
      <c r="E27" s="597"/>
      <c r="F27" s="598"/>
      <c r="G27" s="597"/>
    </row>
    <row r="28" spans="1:10" x14ac:dyDescent="0.25">
      <c r="A28" s="362"/>
      <c r="J28" s="5"/>
    </row>
    <row r="29" spans="1:10" x14ac:dyDescent="0.25">
      <c r="A29" s="59"/>
      <c r="I29" s="60"/>
      <c r="J29" s="599"/>
    </row>
  </sheetData>
  <mergeCells count="4">
    <mergeCell ref="E1:H1"/>
    <mergeCell ref="B2:J2"/>
    <mergeCell ref="B3:J3"/>
    <mergeCell ref="B4:J4"/>
  </mergeCells>
  <printOptions horizontalCentered="1"/>
  <pageMargins left="0.15748031496062992" right="7.874015748031496E-2" top="0.23622047244094491" bottom="0.35433070866141736" header="0.31496062992125984" footer="0.62992125984251968"/>
  <pageSetup scale="5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870E-813E-4E77-88E5-DF56B9529F85}">
  <sheetPr>
    <pageSetUpPr fitToPage="1"/>
  </sheetPr>
  <dimension ref="A1:Z987"/>
  <sheetViews>
    <sheetView showGridLines="0" workbookViewId="0">
      <selection activeCell="M10" sqref="M10"/>
    </sheetView>
  </sheetViews>
  <sheetFormatPr baseColWidth="10" defaultColWidth="12.5703125" defaultRowHeight="15.75" customHeight="1" x14ac:dyDescent="0.2"/>
  <cols>
    <col min="1" max="1" width="2.42578125" style="730" customWidth="1"/>
    <col min="2" max="2" width="10.5703125" style="730" customWidth="1"/>
    <col min="3" max="3" width="14.28515625" style="730" customWidth="1"/>
    <col min="4" max="4" width="18" style="730" customWidth="1"/>
    <col min="5" max="5" width="13.42578125" style="730" customWidth="1"/>
    <col min="6" max="6" width="16.28515625" style="730" customWidth="1"/>
    <col min="7" max="7" width="56.7109375" style="730" customWidth="1"/>
    <col min="8" max="8" width="10.140625" style="730" customWidth="1"/>
    <col min="9" max="26" width="9.42578125" style="730" customWidth="1"/>
    <col min="27" max="16384" width="12.5703125" style="730"/>
  </cols>
  <sheetData>
    <row r="1" spans="1:26" ht="15" x14ac:dyDescent="0.25">
      <c r="H1" s="731"/>
    </row>
    <row r="2" spans="1:26" ht="19.5" customHeight="1" x14ac:dyDescent="0.25">
      <c r="H2" s="731"/>
    </row>
    <row r="3" spans="1:26" ht="29.25" customHeight="1" x14ac:dyDescent="0.2">
      <c r="A3" s="897" t="s">
        <v>935</v>
      </c>
      <c r="B3" s="898"/>
      <c r="C3" s="898"/>
      <c r="D3" s="898"/>
      <c r="E3" s="898"/>
      <c r="F3" s="898"/>
      <c r="G3" s="898"/>
      <c r="H3" s="898"/>
    </row>
    <row r="4" spans="1:26" ht="9.75" customHeight="1" x14ac:dyDescent="0.2">
      <c r="B4" s="732"/>
      <c r="C4" s="732"/>
      <c r="D4" s="732"/>
      <c r="E4" s="732"/>
      <c r="F4" s="732"/>
      <c r="G4" s="732"/>
      <c r="H4" s="732"/>
    </row>
    <row r="5" spans="1:26" ht="26.25" customHeight="1" x14ac:dyDescent="0.25">
      <c r="A5" s="899" t="s">
        <v>936</v>
      </c>
      <c r="B5" s="898"/>
      <c r="C5" s="898"/>
      <c r="D5" s="898"/>
      <c r="E5" s="898"/>
      <c r="F5" s="898"/>
      <c r="G5" s="898"/>
      <c r="H5" s="898"/>
    </row>
    <row r="6" spans="1:26" ht="18" customHeight="1" thickBot="1" x14ac:dyDescent="0.3">
      <c r="B6" s="900"/>
      <c r="C6" s="901"/>
      <c r="D6" s="901"/>
      <c r="E6" s="901"/>
      <c r="F6" s="901"/>
      <c r="H6" s="731"/>
    </row>
    <row r="7" spans="1:26" ht="39" customHeight="1" x14ac:dyDescent="0.2">
      <c r="B7" s="733" t="s">
        <v>127</v>
      </c>
      <c r="C7" s="733" t="s">
        <v>937</v>
      </c>
      <c r="D7" s="733" t="s">
        <v>938</v>
      </c>
      <c r="E7" s="733" t="s">
        <v>939</v>
      </c>
      <c r="F7" s="733" t="s">
        <v>940</v>
      </c>
      <c r="G7" s="733" t="s">
        <v>941</v>
      </c>
      <c r="H7" s="733" t="s">
        <v>942</v>
      </c>
    </row>
    <row r="8" spans="1:26" ht="30.75" customHeight="1" x14ac:dyDescent="0.25">
      <c r="A8" s="734"/>
      <c r="B8" s="735">
        <v>46154</v>
      </c>
      <c r="C8" s="736">
        <v>5299</v>
      </c>
      <c r="D8" s="737" t="s">
        <v>66</v>
      </c>
      <c r="E8" s="736">
        <v>130677751</v>
      </c>
      <c r="F8" s="736" t="s">
        <v>943</v>
      </c>
      <c r="G8" s="736" t="s">
        <v>944</v>
      </c>
      <c r="H8" s="738">
        <v>1400</v>
      </c>
      <c r="J8" s="734"/>
      <c r="K8" s="734"/>
      <c r="L8" s="734"/>
      <c r="M8" s="734"/>
      <c r="N8" s="734"/>
      <c r="O8" s="734"/>
      <c r="P8" s="734"/>
      <c r="Q8" s="734"/>
      <c r="R8" s="734"/>
      <c r="S8" s="734"/>
      <c r="T8" s="734"/>
      <c r="U8" s="734"/>
      <c r="V8" s="734"/>
      <c r="W8" s="734"/>
      <c r="X8" s="734"/>
      <c r="Y8" s="734"/>
      <c r="Z8" s="734"/>
    </row>
    <row r="9" spans="1:26" ht="30.75" customHeight="1" x14ac:dyDescent="0.25">
      <c r="A9" s="734"/>
      <c r="B9" s="735">
        <v>46154</v>
      </c>
      <c r="C9" s="736">
        <v>5300</v>
      </c>
      <c r="D9" s="737" t="s">
        <v>66</v>
      </c>
      <c r="E9" s="736">
        <v>101802456</v>
      </c>
      <c r="F9" s="736" t="s">
        <v>945</v>
      </c>
      <c r="G9" s="736" t="s">
        <v>946</v>
      </c>
      <c r="H9" s="738">
        <v>644.77</v>
      </c>
      <c r="J9" s="734"/>
      <c r="K9" s="734"/>
      <c r="L9" s="734"/>
      <c r="M9" s="734"/>
      <c r="N9" s="734"/>
      <c r="O9" s="734"/>
      <c r="P9" s="734"/>
      <c r="Q9" s="734"/>
      <c r="R9" s="734"/>
      <c r="S9" s="734"/>
      <c r="T9" s="734"/>
      <c r="U9" s="734"/>
      <c r="V9" s="734"/>
      <c r="W9" s="734"/>
      <c r="X9" s="734"/>
      <c r="Y9" s="734"/>
      <c r="Z9" s="734"/>
    </row>
    <row r="10" spans="1:26" ht="30.75" customHeight="1" x14ac:dyDescent="0.25">
      <c r="A10" s="734"/>
      <c r="B10" s="735">
        <v>46156</v>
      </c>
      <c r="C10" s="736">
        <v>5301</v>
      </c>
      <c r="D10" s="737" t="s">
        <v>32</v>
      </c>
      <c r="E10" s="736">
        <v>131071775</v>
      </c>
      <c r="F10" s="736" t="s">
        <v>947</v>
      </c>
      <c r="G10" s="736" t="s">
        <v>948</v>
      </c>
      <c r="H10" s="738">
        <v>550</v>
      </c>
      <c r="J10" s="734"/>
      <c r="K10" s="734"/>
      <c r="L10" s="734"/>
      <c r="M10" s="734"/>
      <c r="N10" s="734"/>
      <c r="O10" s="734"/>
      <c r="P10" s="734"/>
      <c r="Q10" s="734"/>
      <c r="R10" s="734"/>
      <c r="S10" s="734"/>
      <c r="T10" s="734"/>
      <c r="U10" s="734"/>
      <c r="V10" s="734"/>
      <c r="W10" s="734"/>
      <c r="X10" s="734"/>
      <c r="Y10" s="734"/>
      <c r="Z10" s="734"/>
    </row>
    <row r="11" spans="1:26" ht="30.75" customHeight="1" thickBot="1" x14ac:dyDescent="0.3">
      <c r="A11" s="734"/>
      <c r="B11" s="735">
        <v>46167</v>
      </c>
      <c r="C11" s="736">
        <v>5302</v>
      </c>
      <c r="D11" s="737" t="s">
        <v>66</v>
      </c>
      <c r="E11" s="736">
        <v>130677751</v>
      </c>
      <c r="F11" s="736" t="s">
        <v>949</v>
      </c>
      <c r="G11" s="736" t="s">
        <v>944</v>
      </c>
      <c r="H11" s="738">
        <v>1400</v>
      </c>
      <c r="J11" s="734"/>
      <c r="K11" s="734"/>
      <c r="L11" s="734"/>
      <c r="M11" s="734"/>
      <c r="N11" s="734"/>
      <c r="O11" s="734"/>
      <c r="P11" s="734"/>
      <c r="Q11" s="734"/>
      <c r="R11" s="734"/>
      <c r="S11" s="734"/>
      <c r="T11" s="734"/>
      <c r="U11" s="734"/>
      <c r="V11" s="734"/>
      <c r="W11" s="734"/>
      <c r="X11" s="734"/>
      <c r="Y11" s="734"/>
      <c r="Z11" s="734"/>
    </row>
    <row r="12" spans="1:26" ht="22.5" customHeight="1" thickBot="1" x14ac:dyDescent="0.25">
      <c r="B12" s="739"/>
      <c r="C12" s="740" t="s">
        <v>950</v>
      </c>
      <c r="D12" s="740"/>
      <c r="E12" s="740"/>
      <c r="F12" s="740"/>
      <c r="G12" s="740"/>
      <c r="H12" s="741">
        <f>SUM(H8:H11)</f>
        <v>3994.77</v>
      </c>
    </row>
    <row r="13" spans="1:26" ht="15.75" customHeight="1" x14ac:dyDescent="0.2">
      <c r="B13" s="742"/>
      <c r="C13" s="743"/>
      <c r="D13" s="743"/>
      <c r="E13" s="743"/>
      <c r="F13" s="743"/>
      <c r="G13" s="744"/>
      <c r="H13" s="745"/>
    </row>
    <row r="14" spans="1:26" ht="15.75" customHeight="1" x14ac:dyDescent="0.25">
      <c r="H14" s="731"/>
    </row>
    <row r="15" spans="1:26" ht="15.75" customHeight="1" thickBot="1" x14ac:dyDescent="0.3">
      <c r="H15" s="731"/>
    </row>
    <row r="16" spans="1:26" ht="15.75" customHeight="1" x14ac:dyDescent="0.2">
      <c r="F16" s="749" t="s">
        <v>938</v>
      </c>
      <c r="G16" s="750" t="s">
        <v>941</v>
      </c>
      <c r="H16" s="751" t="s">
        <v>942</v>
      </c>
    </row>
    <row r="17" spans="2:8" ht="19.5" customHeight="1" x14ac:dyDescent="0.25">
      <c r="F17" s="752" t="str">
        <f>+D10</f>
        <v>2272-06</v>
      </c>
      <c r="G17" s="747" t="s">
        <v>952</v>
      </c>
      <c r="H17" s="753">
        <f>+H10</f>
        <v>550</v>
      </c>
    </row>
    <row r="18" spans="2:8" ht="19.5" customHeight="1" thickBot="1" x14ac:dyDescent="0.3">
      <c r="F18" s="752" t="str">
        <f>+D8</f>
        <v>2311-01</v>
      </c>
      <c r="G18" s="748" t="s">
        <v>25</v>
      </c>
      <c r="H18" s="753">
        <f>+H8+H9+H11</f>
        <v>3444.77</v>
      </c>
    </row>
    <row r="19" spans="2:8" ht="15.75" customHeight="1" thickBot="1" x14ac:dyDescent="0.25">
      <c r="F19" s="739"/>
      <c r="G19" s="740" t="s">
        <v>950</v>
      </c>
      <c r="H19" s="741">
        <f>SUM(H17:H18)</f>
        <v>3994.77</v>
      </c>
    </row>
    <row r="20" spans="2:8" ht="15.75" customHeight="1" x14ac:dyDescent="0.25">
      <c r="H20" s="731"/>
    </row>
    <row r="21" spans="2:8" ht="15.75" customHeight="1" x14ac:dyDescent="0.25">
      <c r="H21" s="731"/>
    </row>
    <row r="22" spans="2:8" ht="15.75" customHeight="1" x14ac:dyDescent="0.25">
      <c r="H22" s="731"/>
    </row>
    <row r="23" spans="2:8" ht="15.75" customHeight="1" x14ac:dyDescent="0.25">
      <c r="H23" s="731"/>
    </row>
    <row r="24" spans="2:8" ht="15.75" customHeight="1" x14ac:dyDescent="0.25">
      <c r="H24" s="731"/>
    </row>
    <row r="25" spans="2:8" ht="15.75" customHeight="1" thickBot="1" x14ac:dyDescent="0.3">
      <c r="B25" s="746"/>
      <c r="C25" s="746"/>
      <c r="D25" s="746"/>
      <c r="H25" s="731"/>
    </row>
    <row r="26" spans="2:8" ht="15.75" customHeight="1" x14ac:dyDescent="0.25">
      <c r="B26" s="902" t="s">
        <v>951</v>
      </c>
      <c r="C26" s="903"/>
      <c r="D26" s="903"/>
      <c r="H26" s="731"/>
    </row>
    <row r="27" spans="2:8" ht="15.75" customHeight="1" x14ac:dyDescent="0.25">
      <c r="H27" s="731"/>
    </row>
    <row r="28" spans="2:8" ht="15.75" customHeight="1" x14ac:dyDescent="0.25">
      <c r="H28" s="731"/>
    </row>
    <row r="29" spans="2:8" ht="15.75" customHeight="1" x14ac:dyDescent="0.25">
      <c r="H29" s="731"/>
    </row>
    <row r="30" spans="2:8" ht="15.75" customHeight="1" x14ac:dyDescent="0.25">
      <c r="H30" s="731"/>
    </row>
    <row r="31" spans="2:8" ht="15.75" customHeight="1" x14ac:dyDescent="0.25">
      <c r="H31" s="731"/>
    </row>
    <row r="32" spans="2:8" ht="15.75" customHeight="1" x14ac:dyDescent="0.25">
      <c r="H32" s="731"/>
    </row>
    <row r="33" spans="8:8" ht="15.75" customHeight="1" x14ac:dyDescent="0.25">
      <c r="H33" s="731"/>
    </row>
    <row r="34" spans="8:8" ht="15.75" customHeight="1" x14ac:dyDescent="0.25">
      <c r="H34" s="731"/>
    </row>
    <row r="35" spans="8:8" ht="15.75" customHeight="1" x14ac:dyDescent="0.25">
      <c r="H35" s="731"/>
    </row>
    <row r="36" spans="8:8" ht="15.75" customHeight="1" x14ac:dyDescent="0.25">
      <c r="H36" s="731"/>
    </row>
    <row r="37" spans="8:8" ht="15.75" customHeight="1" x14ac:dyDescent="0.25">
      <c r="H37" s="731"/>
    </row>
    <row r="38" spans="8:8" ht="15.75" customHeight="1" x14ac:dyDescent="0.25">
      <c r="H38" s="731"/>
    </row>
    <row r="39" spans="8:8" ht="15.75" customHeight="1" x14ac:dyDescent="0.25">
      <c r="H39" s="731"/>
    </row>
    <row r="40" spans="8:8" ht="15.75" customHeight="1" x14ac:dyDescent="0.25">
      <c r="H40" s="731"/>
    </row>
    <row r="41" spans="8:8" ht="15.75" customHeight="1" x14ac:dyDescent="0.25">
      <c r="H41" s="731"/>
    </row>
    <row r="42" spans="8:8" ht="15.75" customHeight="1" x14ac:dyDescent="0.25">
      <c r="H42" s="731"/>
    </row>
    <row r="43" spans="8:8" ht="15.75" customHeight="1" x14ac:dyDescent="0.25">
      <c r="H43" s="731"/>
    </row>
    <row r="44" spans="8:8" ht="15.75" customHeight="1" x14ac:dyDescent="0.25">
      <c r="H44" s="731"/>
    </row>
    <row r="45" spans="8:8" ht="15.75" customHeight="1" x14ac:dyDescent="0.25">
      <c r="H45" s="731"/>
    </row>
    <row r="46" spans="8:8" ht="15.75" customHeight="1" x14ac:dyDescent="0.25">
      <c r="H46" s="731"/>
    </row>
    <row r="47" spans="8:8" ht="15.75" customHeight="1" x14ac:dyDescent="0.25">
      <c r="H47" s="731"/>
    </row>
    <row r="48" spans="8:8" ht="15.75" customHeight="1" x14ac:dyDescent="0.25">
      <c r="H48" s="731"/>
    </row>
    <row r="49" spans="8:8" ht="15.75" customHeight="1" x14ac:dyDescent="0.25">
      <c r="H49" s="731"/>
    </row>
    <row r="50" spans="8:8" ht="15.75" customHeight="1" x14ac:dyDescent="0.25">
      <c r="H50" s="731"/>
    </row>
    <row r="51" spans="8:8" ht="15.75" customHeight="1" x14ac:dyDescent="0.25">
      <c r="H51" s="731"/>
    </row>
    <row r="52" spans="8:8" ht="15.75" customHeight="1" x14ac:dyDescent="0.25">
      <c r="H52" s="731"/>
    </row>
    <row r="53" spans="8:8" ht="15.75" customHeight="1" x14ac:dyDescent="0.25">
      <c r="H53" s="731"/>
    </row>
    <row r="54" spans="8:8" ht="15.75" customHeight="1" x14ac:dyDescent="0.25">
      <c r="H54" s="731"/>
    </row>
    <row r="55" spans="8:8" ht="15.75" customHeight="1" x14ac:dyDescent="0.25">
      <c r="H55" s="731"/>
    </row>
    <row r="56" spans="8:8" ht="15.75" customHeight="1" x14ac:dyDescent="0.25">
      <c r="H56" s="731"/>
    </row>
    <row r="57" spans="8:8" ht="15.75" customHeight="1" x14ac:dyDescent="0.25">
      <c r="H57" s="731"/>
    </row>
    <row r="58" spans="8:8" ht="15.75" customHeight="1" x14ac:dyDescent="0.25">
      <c r="H58" s="731"/>
    </row>
    <row r="59" spans="8:8" ht="15.75" customHeight="1" x14ac:dyDescent="0.25">
      <c r="H59" s="731"/>
    </row>
    <row r="60" spans="8:8" ht="15.75" customHeight="1" x14ac:dyDescent="0.25">
      <c r="H60" s="731"/>
    </row>
    <row r="61" spans="8:8" ht="15.75" customHeight="1" x14ac:dyDescent="0.25">
      <c r="H61" s="731"/>
    </row>
    <row r="62" spans="8:8" ht="15.75" customHeight="1" x14ac:dyDescent="0.25">
      <c r="H62" s="731"/>
    </row>
    <row r="63" spans="8:8" ht="15.75" customHeight="1" x14ac:dyDescent="0.25">
      <c r="H63" s="731"/>
    </row>
    <row r="64" spans="8:8" ht="15.75" customHeight="1" x14ac:dyDescent="0.25">
      <c r="H64" s="731"/>
    </row>
    <row r="65" spans="8:8" ht="15.75" customHeight="1" x14ac:dyDescent="0.25">
      <c r="H65" s="731"/>
    </row>
    <row r="66" spans="8:8" ht="15.75" customHeight="1" x14ac:dyDescent="0.25">
      <c r="H66" s="731"/>
    </row>
    <row r="67" spans="8:8" ht="15.75" customHeight="1" x14ac:dyDescent="0.25">
      <c r="H67" s="731"/>
    </row>
    <row r="68" spans="8:8" ht="15.75" customHeight="1" x14ac:dyDescent="0.25">
      <c r="H68" s="731"/>
    </row>
    <row r="69" spans="8:8" ht="15.75" customHeight="1" x14ac:dyDescent="0.25">
      <c r="H69" s="731"/>
    </row>
    <row r="70" spans="8:8" ht="15.75" customHeight="1" x14ac:dyDescent="0.25">
      <c r="H70" s="731"/>
    </row>
    <row r="71" spans="8:8" ht="15.75" customHeight="1" x14ac:dyDescent="0.25">
      <c r="H71" s="731"/>
    </row>
    <row r="72" spans="8:8" ht="15.75" customHeight="1" x14ac:dyDescent="0.25">
      <c r="H72" s="731"/>
    </row>
    <row r="73" spans="8:8" ht="15.75" customHeight="1" x14ac:dyDescent="0.25">
      <c r="H73" s="731"/>
    </row>
    <row r="74" spans="8:8" ht="15.75" customHeight="1" x14ac:dyDescent="0.25">
      <c r="H74" s="731"/>
    </row>
    <row r="75" spans="8:8" ht="15.75" customHeight="1" x14ac:dyDescent="0.25">
      <c r="H75" s="731"/>
    </row>
    <row r="76" spans="8:8" ht="15.75" customHeight="1" x14ac:dyDescent="0.25">
      <c r="H76" s="731"/>
    </row>
    <row r="77" spans="8:8" ht="15.75" customHeight="1" x14ac:dyDescent="0.25">
      <c r="H77" s="731"/>
    </row>
    <row r="78" spans="8:8" ht="15.75" customHeight="1" x14ac:dyDescent="0.25">
      <c r="H78" s="731"/>
    </row>
    <row r="79" spans="8:8" ht="15.75" customHeight="1" x14ac:dyDescent="0.25">
      <c r="H79" s="731"/>
    </row>
    <row r="80" spans="8:8" ht="15.75" customHeight="1" x14ac:dyDescent="0.25">
      <c r="H80" s="731"/>
    </row>
    <row r="81" spans="8:8" ht="15.75" customHeight="1" x14ac:dyDescent="0.25">
      <c r="H81" s="731"/>
    </row>
    <row r="82" spans="8:8" ht="15.75" customHeight="1" x14ac:dyDescent="0.25">
      <c r="H82" s="731"/>
    </row>
    <row r="83" spans="8:8" ht="15.75" customHeight="1" x14ac:dyDescent="0.25">
      <c r="H83" s="731"/>
    </row>
    <row r="84" spans="8:8" ht="15.75" customHeight="1" x14ac:dyDescent="0.25">
      <c r="H84" s="731"/>
    </row>
    <row r="85" spans="8:8" ht="15.75" customHeight="1" x14ac:dyDescent="0.25">
      <c r="H85" s="731"/>
    </row>
    <row r="86" spans="8:8" ht="15.75" customHeight="1" x14ac:dyDescent="0.25">
      <c r="H86" s="731"/>
    </row>
    <row r="87" spans="8:8" ht="15.75" customHeight="1" x14ac:dyDescent="0.25">
      <c r="H87" s="731"/>
    </row>
    <row r="88" spans="8:8" ht="15.75" customHeight="1" x14ac:dyDescent="0.25">
      <c r="H88" s="731"/>
    </row>
    <row r="89" spans="8:8" ht="15.75" customHeight="1" x14ac:dyDescent="0.25">
      <c r="H89" s="731"/>
    </row>
    <row r="90" spans="8:8" ht="15.75" customHeight="1" x14ac:dyDescent="0.25">
      <c r="H90" s="731"/>
    </row>
    <row r="91" spans="8:8" ht="15.75" customHeight="1" x14ac:dyDescent="0.25">
      <c r="H91" s="731"/>
    </row>
    <row r="92" spans="8:8" ht="15.75" customHeight="1" x14ac:dyDescent="0.25">
      <c r="H92" s="731"/>
    </row>
    <row r="93" spans="8:8" ht="15.75" customHeight="1" x14ac:dyDescent="0.25">
      <c r="H93" s="731"/>
    </row>
    <row r="94" spans="8:8" ht="15.75" customHeight="1" x14ac:dyDescent="0.25">
      <c r="H94" s="731"/>
    </row>
    <row r="95" spans="8:8" ht="15.75" customHeight="1" x14ac:dyDescent="0.25">
      <c r="H95" s="731"/>
    </row>
    <row r="96" spans="8:8" ht="15.75" customHeight="1" x14ac:dyDescent="0.25">
      <c r="H96" s="731"/>
    </row>
    <row r="97" spans="8:8" ht="15.75" customHeight="1" x14ac:dyDescent="0.25">
      <c r="H97" s="731"/>
    </row>
    <row r="98" spans="8:8" ht="15.75" customHeight="1" x14ac:dyDescent="0.25">
      <c r="H98" s="731"/>
    </row>
    <row r="99" spans="8:8" ht="15.75" customHeight="1" x14ac:dyDescent="0.25">
      <c r="H99" s="731"/>
    </row>
    <row r="100" spans="8:8" ht="15.75" customHeight="1" x14ac:dyDescent="0.25">
      <c r="H100" s="731"/>
    </row>
    <row r="101" spans="8:8" ht="15.75" customHeight="1" x14ac:dyDescent="0.25">
      <c r="H101" s="731"/>
    </row>
    <row r="102" spans="8:8" ht="15.75" customHeight="1" x14ac:dyDescent="0.25">
      <c r="H102" s="731"/>
    </row>
    <row r="103" spans="8:8" ht="15.75" customHeight="1" x14ac:dyDescent="0.25">
      <c r="H103" s="731"/>
    </row>
    <row r="104" spans="8:8" ht="15.75" customHeight="1" x14ac:dyDescent="0.25">
      <c r="H104" s="731"/>
    </row>
    <row r="105" spans="8:8" ht="15.75" customHeight="1" x14ac:dyDescent="0.25">
      <c r="H105" s="731"/>
    </row>
    <row r="106" spans="8:8" ht="15.75" customHeight="1" x14ac:dyDescent="0.25">
      <c r="H106" s="731"/>
    </row>
    <row r="107" spans="8:8" ht="15.75" customHeight="1" x14ac:dyDescent="0.25">
      <c r="H107" s="731"/>
    </row>
    <row r="108" spans="8:8" ht="15.75" customHeight="1" x14ac:dyDescent="0.25">
      <c r="H108" s="731"/>
    </row>
    <row r="109" spans="8:8" ht="15.75" customHeight="1" x14ac:dyDescent="0.25">
      <c r="H109" s="731"/>
    </row>
    <row r="110" spans="8:8" ht="15.75" customHeight="1" x14ac:dyDescent="0.25">
      <c r="H110" s="731"/>
    </row>
    <row r="111" spans="8:8" ht="15.75" customHeight="1" x14ac:dyDescent="0.25">
      <c r="H111" s="731"/>
    </row>
    <row r="112" spans="8:8" ht="15.75" customHeight="1" x14ac:dyDescent="0.25">
      <c r="H112" s="731"/>
    </row>
    <row r="113" spans="8:8" ht="15.75" customHeight="1" x14ac:dyDescent="0.25">
      <c r="H113" s="731"/>
    </row>
    <row r="114" spans="8:8" ht="15.75" customHeight="1" x14ac:dyDescent="0.25">
      <c r="H114" s="731"/>
    </row>
    <row r="115" spans="8:8" ht="15.75" customHeight="1" x14ac:dyDescent="0.25">
      <c r="H115" s="731"/>
    </row>
    <row r="116" spans="8:8" ht="15.75" customHeight="1" x14ac:dyDescent="0.25">
      <c r="H116" s="731"/>
    </row>
    <row r="117" spans="8:8" ht="15.75" customHeight="1" x14ac:dyDescent="0.25">
      <c r="H117" s="731"/>
    </row>
    <row r="118" spans="8:8" ht="15.75" customHeight="1" x14ac:dyDescent="0.25">
      <c r="H118" s="731"/>
    </row>
    <row r="119" spans="8:8" ht="15.75" customHeight="1" x14ac:dyDescent="0.25">
      <c r="H119" s="731"/>
    </row>
    <row r="120" spans="8:8" ht="15.75" customHeight="1" x14ac:dyDescent="0.25">
      <c r="H120" s="731"/>
    </row>
    <row r="121" spans="8:8" ht="15.75" customHeight="1" x14ac:dyDescent="0.25">
      <c r="H121" s="731"/>
    </row>
    <row r="122" spans="8:8" ht="15.75" customHeight="1" x14ac:dyDescent="0.25">
      <c r="H122" s="731"/>
    </row>
    <row r="123" spans="8:8" ht="15.75" customHeight="1" x14ac:dyDescent="0.25">
      <c r="H123" s="731"/>
    </row>
    <row r="124" spans="8:8" ht="15.75" customHeight="1" x14ac:dyDescent="0.25">
      <c r="H124" s="731"/>
    </row>
    <row r="125" spans="8:8" ht="15.75" customHeight="1" x14ac:dyDescent="0.25">
      <c r="H125" s="731"/>
    </row>
    <row r="126" spans="8:8" ht="15.75" customHeight="1" x14ac:dyDescent="0.25">
      <c r="H126" s="731"/>
    </row>
    <row r="127" spans="8:8" ht="15.75" customHeight="1" x14ac:dyDescent="0.25">
      <c r="H127" s="731"/>
    </row>
    <row r="128" spans="8:8" ht="15.75" customHeight="1" x14ac:dyDescent="0.25">
      <c r="H128" s="731"/>
    </row>
    <row r="129" spans="8:8" ht="15.75" customHeight="1" x14ac:dyDescent="0.25">
      <c r="H129" s="731"/>
    </row>
    <row r="130" spans="8:8" ht="15.75" customHeight="1" x14ac:dyDescent="0.25">
      <c r="H130" s="731"/>
    </row>
    <row r="131" spans="8:8" ht="15.75" customHeight="1" x14ac:dyDescent="0.25">
      <c r="H131" s="731"/>
    </row>
    <row r="132" spans="8:8" ht="15.75" customHeight="1" x14ac:dyDescent="0.25">
      <c r="H132" s="731"/>
    </row>
    <row r="133" spans="8:8" ht="15.75" customHeight="1" x14ac:dyDescent="0.25">
      <c r="H133" s="731"/>
    </row>
    <row r="134" spans="8:8" ht="15.75" customHeight="1" x14ac:dyDescent="0.25">
      <c r="H134" s="731"/>
    </row>
    <row r="135" spans="8:8" ht="15.75" customHeight="1" x14ac:dyDescent="0.25">
      <c r="H135" s="731"/>
    </row>
    <row r="136" spans="8:8" ht="15.75" customHeight="1" x14ac:dyDescent="0.25">
      <c r="H136" s="731"/>
    </row>
    <row r="137" spans="8:8" ht="15.75" customHeight="1" x14ac:dyDescent="0.25">
      <c r="H137" s="731"/>
    </row>
    <row r="138" spans="8:8" ht="15.75" customHeight="1" x14ac:dyDescent="0.25">
      <c r="H138" s="731"/>
    </row>
    <row r="139" spans="8:8" ht="15.75" customHeight="1" x14ac:dyDescent="0.25">
      <c r="H139" s="731"/>
    </row>
    <row r="140" spans="8:8" ht="15.75" customHeight="1" x14ac:dyDescent="0.25">
      <c r="H140" s="731"/>
    </row>
    <row r="141" spans="8:8" ht="15.75" customHeight="1" x14ac:dyDescent="0.25">
      <c r="H141" s="731"/>
    </row>
    <row r="142" spans="8:8" ht="15.75" customHeight="1" x14ac:dyDescent="0.25">
      <c r="H142" s="731"/>
    </row>
    <row r="143" spans="8:8" ht="15.75" customHeight="1" x14ac:dyDescent="0.25">
      <c r="H143" s="731"/>
    </row>
    <row r="144" spans="8:8" ht="15.75" customHeight="1" x14ac:dyDescent="0.25">
      <c r="H144" s="731"/>
    </row>
    <row r="145" spans="8:8" ht="15.75" customHeight="1" x14ac:dyDescent="0.25">
      <c r="H145" s="731"/>
    </row>
    <row r="146" spans="8:8" ht="15.75" customHeight="1" x14ac:dyDescent="0.25">
      <c r="H146" s="731"/>
    </row>
    <row r="147" spans="8:8" ht="15.75" customHeight="1" x14ac:dyDescent="0.25">
      <c r="H147" s="731"/>
    </row>
    <row r="148" spans="8:8" ht="15.75" customHeight="1" x14ac:dyDescent="0.25">
      <c r="H148" s="731"/>
    </row>
    <row r="149" spans="8:8" ht="15.75" customHeight="1" x14ac:dyDescent="0.25">
      <c r="H149" s="731"/>
    </row>
    <row r="150" spans="8:8" ht="15.75" customHeight="1" x14ac:dyDescent="0.25">
      <c r="H150" s="731"/>
    </row>
    <row r="151" spans="8:8" ht="15.75" customHeight="1" x14ac:dyDescent="0.25">
      <c r="H151" s="731"/>
    </row>
    <row r="152" spans="8:8" ht="15.75" customHeight="1" x14ac:dyDescent="0.25">
      <c r="H152" s="731"/>
    </row>
    <row r="153" spans="8:8" ht="15.75" customHeight="1" x14ac:dyDescent="0.25">
      <c r="H153" s="731"/>
    </row>
    <row r="154" spans="8:8" ht="15.75" customHeight="1" x14ac:dyDescent="0.25">
      <c r="H154" s="731"/>
    </row>
    <row r="155" spans="8:8" ht="15.75" customHeight="1" x14ac:dyDescent="0.25">
      <c r="H155" s="731"/>
    </row>
    <row r="156" spans="8:8" ht="15.75" customHeight="1" x14ac:dyDescent="0.25">
      <c r="H156" s="731"/>
    </row>
    <row r="157" spans="8:8" ht="15.75" customHeight="1" x14ac:dyDescent="0.25">
      <c r="H157" s="731"/>
    </row>
    <row r="158" spans="8:8" ht="15.75" customHeight="1" x14ac:dyDescent="0.25">
      <c r="H158" s="731"/>
    </row>
    <row r="159" spans="8:8" ht="15.75" customHeight="1" x14ac:dyDescent="0.25">
      <c r="H159" s="731"/>
    </row>
    <row r="160" spans="8:8" ht="15.75" customHeight="1" x14ac:dyDescent="0.25">
      <c r="H160" s="731"/>
    </row>
    <row r="161" spans="8:8" ht="15.75" customHeight="1" x14ac:dyDescent="0.25">
      <c r="H161" s="731"/>
    </row>
    <row r="162" spans="8:8" ht="15.75" customHeight="1" x14ac:dyDescent="0.25">
      <c r="H162" s="731"/>
    </row>
    <row r="163" spans="8:8" ht="15.75" customHeight="1" x14ac:dyDescent="0.25">
      <c r="H163" s="731"/>
    </row>
    <row r="164" spans="8:8" ht="15.75" customHeight="1" x14ac:dyDescent="0.25">
      <c r="H164" s="731"/>
    </row>
    <row r="165" spans="8:8" ht="15.75" customHeight="1" x14ac:dyDescent="0.25">
      <c r="H165" s="731"/>
    </row>
    <row r="166" spans="8:8" ht="15.75" customHeight="1" x14ac:dyDescent="0.25">
      <c r="H166" s="731"/>
    </row>
    <row r="167" spans="8:8" ht="15.75" customHeight="1" x14ac:dyDescent="0.25">
      <c r="H167" s="731"/>
    </row>
    <row r="168" spans="8:8" ht="15.75" customHeight="1" x14ac:dyDescent="0.25">
      <c r="H168" s="731"/>
    </row>
    <row r="169" spans="8:8" ht="15.75" customHeight="1" x14ac:dyDescent="0.25">
      <c r="H169" s="731"/>
    </row>
    <row r="170" spans="8:8" ht="15.75" customHeight="1" x14ac:dyDescent="0.25">
      <c r="H170" s="731"/>
    </row>
    <row r="171" spans="8:8" ht="15.75" customHeight="1" x14ac:dyDescent="0.25">
      <c r="H171" s="731"/>
    </row>
    <row r="172" spans="8:8" ht="15.75" customHeight="1" x14ac:dyDescent="0.25">
      <c r="H172" s="731"/>
    </row>
    <row r="173" spans="8:8" ht="15.75" customHeight="1" x14ac:dyDescent="0.25">
      <c r="H173" s="731"/>
    </row>
    <row r="174" spans="8:8" ht="15.75" customHeight="1" x14ac:dyDescent="0.25">
      <c r="H174" s="731"/>
    </row>
    <row r="175" spans="8:8" ht="15.75" customHeight="1" x14ac:dyDescent="0.25">
      <c r="H175" s="731"/>
    </row>
    <row r="176" spans="8:8" ht="15.75" customHeight="1" x14ac:dyDescent="0.25">
      <c r="H176" s="731"/>
    </row>
    <row r="177" spans="8:8" ht="15.75" customHeight="1" x14ac:dyDescent="0.25">
      <c r="H177" s="731"/>
    </row>
    <row r="178" spans="8:8" ht="15.75" customHeight="1" x14ac:dyDescent="0.25">
      <c r="H178" s="731"/>
    </row>
    <row r="179" spans="8:8" ht="15.75" customHeight="1" x14ac:dyDescent="0.25">
      <c r="H179" s="731"/>
    </row>
    <row r="180" spans="8:8" ht="15.75" customHeight="1" x14ac:dyDescent="0.25">
      <c r="H180" s="731"/>
    </row>
    <row r="181" spans="8:8" ht="15.75" customHeight="1" x14ac:dyDescent="0.25">
      <c r="H181" s="731"/>
    </row>
    <row r="182" spans="8:8" ht="15.75" customHeight="1" x14ac:dyDescent="0.25">
      <c r="H182" s="731"/>
    </row>
    <row r="183" spans="8:8" ht="15.75" customHeight="1" x14ac:dyDescent="0.25">
      <c r="H183" s="731"/>
    </row>
    <row r="184" spans="8:8" ht="15.75" customHeight="1" x14ac:dyDescent="0.25">
      <c r="H184" s="731"/>
    </row>
    <row r="185" spans="8:8" ht="15.75" customHeight="1" x14ac:dyDescent="0.25">
      <c r="H185" s="731"/>
    </row>
    <row r="186" spans="8:8" ht="15.75" customHeight="1" x14ac:dyDescent="0.25">
      <c r="H186" s="731"/>
    </row>
    <row r="187" spans="8:8" ht="15.75" customHeight="1" x14ac:dyDescent="0.25">
      <c r="H187" s="731"/>
    </row>
    <row r="188" spans="8:8" ht="15.75" customHeight="1" x14ac:dyDescent="0.25">
      <c r="H188" s="731"/>
    </row>
    <row r="189" spans="8:8" ht="15.75" customHeight="1" x14ac:dyDescent="0.25">
      <c r="H189" s="731"/>
    </row>
    <row r="190" spans="8:8" ht="15.75" customHeight="1" x14ac:dyDescent="0.25">
      <c r="H190" s="731"/>
    </row>
    <row r="191" spans="8:8" ht="15.75" customHeight="1" x14ac:dyDescent="0.25">
      <c r="H191" s="731"/>
    </row>
    <row r="192" spans="8:8" ht="15.75" customHeight="1" x14ac:dyDescent="0.25">
      <c r="H192" s="731"/>
    </row>
    <row r="193" spans="8:8" ht="15.75" customHeight="1" x14ac:dyDescent="0.25">
      <c r="H193" s="731"/>
    </row>
    <row r="194" spans="8:8" ht="15.75" customHeight="1" x14ac:dyDescent="0.25">
      <c r="H194" s="731"/>
    </row>
    <row r="195" spans="8:8" ht="15.75" customHeight="1" x14ac:dyDescent="0.25">
      <c r="H195" s="731"/>
    </row>
    <row r="196" spans="8:8" ht="15.75" customHeight="1" x14ac:dyDescent="0.25">
      <c r="H196" s="731"/>
    </row>
    <row r="197" spans="8:8" ht="15.75" customHeight="1" x14ac:dyDescent="0.25">
      <c r="H197" s="731"/>
    </row>
    <row r="198" spans="8:8" ht="15.75" customHeight="1" x14ac:dyDescent="0.25">
      <c r="H198" s="731"/>
    </row>
    <row r="199" spans="8:8" ht="15.75" customHeight="1" x14ac:dyDescent="0.25">
      <c r="H199" s="731"/>
    </row>
    <row r="200" spans="8:8" ht="15.75" customHeight="1" x14ac:dyDescent="0.25">
      <c r="H200" s="731"/>
    </row>
    <row r="201" spans="8:8" ht="15.75" customHeight="1" x14ac:dyDescent="0.25">
      <c r="H201" s="731"/>
    </row>
    <row r="202" spans="8:8" ht="15.75" customHeight="1" x14ac:dyDescent="0.25">
      <c r="H202" s="731"/>
    </row>
    <row r="203" spans="8:8" ht="15.75" customHeight="1" x14ac:dyDescent="0.25">
      <c r="H203" s="731"/>
    </row>
    <row r="204" spans="8:8" ht="15.75" customHeight="1" x14ac:dyDescent="0.25">
      <c r="H204" s="731"/>
    </row>
    <row r="205" spans="8:8" ht="15.75" customHeight="1" x14ac:dyDescent="0.25">
      <c r="H205" s="731"/>
    </row>
    <row r="206" spans="8:8" ht="15.75" customHeight="1" x14ac:dyDescent="0.25">
      <c r="H206" s="731"/>
    </row>
    <row r="207" spans="8:8" ht="15.75" customHeight="1" x14ac:dyDescent="0.25">
      <c r="H207" s="731"/>
    </row>
    <row r="208" spans="8:8" ht="15.75" customHeight="1" x14ac:dyDescent="0.25">
      <c r="H208" s="731"/>
    </row>
    <row r="209" spans="8:8" ht="15.75" customHeight="1" x14ac:dyDescent="0.25">
      <c r="H209" s="731"/>
    </row>
    <row r="210" spans="8:8" ht="15.75" customHeight="1" x14ac:dyDescent="0.25">
      <c r="H210" s="731"/>
    </row>
    <row r="211" spans="8:8" ht="15.75" customHeight="1" x14ac:dyDescent="0.25">
      <c r="H211" s="731"/>
    </row>
    <row r="212" spans="8:8" ht="15.75" customHeight="1" x14ac:dyDescent="0.25">
      <c r="H212" s="731"/>
    </row>
    <row r="213" spans="8:8" ht="15.75" customHeight="1" x14ac:dyDescent="0.25">
      <c r="H213" s="731"/>
    </row>
    <row r="214" spans="8:8" ht="15.75" customHeight="1" x14ac:dyDescent="0.25">
      <c r="H214" s="731"/>
    </row>
    <row r="215" spans="8:8" ht="15.75" customHeight="1" x14ac:dyDescent="0.25">
      <c r="H215" s="731"/>
    </row>
    <row r="216" spans="8:8" ht="15.75" customHeight="1" x14ac:dyDescent="0.25">
      <c r="H216" s="731"/>
    </row>
    <row r="217" spans="8:8" ht="15.75" customHeight="1" x14ac:dyDescent="0.25">
      <c r="H217" s="731"/>
    </row>
    <row r="218" spans="8:8" ht="15.75" customHeight="1" x14ac:dyDescent="0.25">
      <c r="H218" s="731"/>
    </row>
    <row r="219" spans="8:8" ht="15.75" customHeight="1" x14ac:dyDescent="0.25">
      <c r="H219" s="731"/>
    </row>
    <row r="220" spans="8:8" ht="15.75" customHeight="1" x14ac:dyDescent="0.25">
      <c r="H220" s="731"/>
    </row>
    <row r="221" spans="8:8" ht="15.75" customHeight="1" x14ac:dyDescent="0.25">
      <c r="H221" s="731"/>
    </row>
    <row r="222" spans="8:8" ht="15.75" customHeight="1" x14ac:dyDescent="0.25">
      <c r="H222" s="731"/>
    </row>
    <row r="223" spans="8:8" ht="15.75" customHeight="1" x14ac:dyDescent="0.25">
      <c r="H223" s="731"/>
    </row>
    <row r="224" spans="8:8" ht="15.75" customHeight="1" x14ac:dyDescent="0.25">
      <c r="H224" s="731"/>
    </row>
    <row r="225" spans="8:8" ht="15.75" customHeight="1" x14ac:dyDescent="0.25">
      <c r="H225" s="731"/>
    </row>
    <row r="226" spans="8:8" ht="15.75" customHeight="1" x14ac:dyDescent="0.25">
      <c r="H226" s="731"/>
    </row>
    <row r="227" spans="8:8" ht="15.75" customHeight="1" x14ac:dyDescent="0.25">
      <c r="H227" s="731"/>
    </row>
    <row r="228" spans="8:8" ht="15.75" customHeight="1" x14ac:dyDescent="0.25">
      <c r="H228" s="731"/>
    </row>
    <row r="229" spans="8:8" ht="15.75" customHeight="1" x14ac:dyDescent="0.25">
      <c r="H229" s="731"/>
    </row>
    <row r="230" spans="8:8" ht="15.75" customHeight="1" x14ac:dyDescent="0.25">
      <c r="H230" s="731"/>
    </row>
    <row r="231" spans="8:8" ht="15.75" customHeight="1" x14ac:dyDescent="0.25">
      <c r="H231" s="731"/>
    </row>
    <row r="232" spans="8:8" ht="15.75" customHeight="1" x14ac:dyDescent="0.25">
      <c r="H232" s="731"/>
    </row>
    <row r="233" spans="8:8" ht="15.75" customHeight="1" x14ac:dyDescent="0.25">
      <c r="H233" s="731"/>
    </row>
    <row r="234" spans="8:8" ht="15.75" customHeight="1" x14ac:dyDescent="0.25">
      <c r="H234" s="731"/>
    </row>
    <row r="235" spans="8:8" ht="15.75" customHeight="1" x14ac:dyDescent="0.25">
      <c r="H235" s="731"/>
    </row>
    <row r="236" spans="8:8" ht="15.75" customHeight="1" x14ac:dyDescent="0.25">
      <c r="H236" s="731"/>
    </row>
    <row r="237" spans="8:8" ht="15.75" customHeight="1" x14ac:dyDescent="0.25">
      <c r="H237" s="731"/>
    </row>
    <row r="238" spans="8:8" ht="15.75" customHeight="1" x14ac:dyDescent="0.25">
      <c r="H238" s="731"/>
    </row>
    <row r="239" spans="8:8" ht="15.75" customHeight="1" x14ac:dyDescent="0.25">
      <c r="H239" s="731"/>
    </row>
    <row r="240" spans="8:8" ht="15.75" customHeight="1" x14ac:dyDescent="0.25">
      <c r="H240" s="731"/>
    </row>
    <row r="241" spans="8:8" ht="15.75" customHeight="1" x14ac:dyDescent="0.25">
      <c r="H241" s="731"/>
    </row>
    <row r="242" spans="8:8" ht="15.75" customHeight="1" x14ac:dyDescent="0.25">
      <c r="H242" s="731"/>
    </row>
    <row r="243" spans="8:8" ht="15.75" customHeight="1" x14ac:dyDescent="0.25">
      <c r="H243" s="731"/>
    </row>
    <row r="244" spans="8:8" ht="15.75" customHeight="1" x14ac:dyDescent="0.25">
      <c r="H244" s="731"/>
    </row>
    <row r="245" spans="8:8" ht="15.75" customHeight="1" x14ac:dyDescent="0.25">
      <c r="H245" s="731"/>
    </row>
    <row r="246" spans="8:8" ht="15.75" customHeight="1" x14ac:dyDescent="0.25">
      <c r="H246" s="731"/>
    </row>
    <row r="247" spans="8:8" ht="15.75" customHeight="1" x14ac:dyDescent="0.25">
      <c r="H247" s="731"/>
    </row>
    <row r="248" spans="8:8" ht="15.75" customHeight="1" x14ac:dyDescent="0.25">
      <c r="H248" s="731"/>
    </row>
    <row r="249" spans="8:8" ht="15.75" customHeight="1" x14ac:dyDescent="0.25">
      <c r="H249" s="731"/>
    </row>
    <row r="250" spans="8:8" ht="15.75" customHeight="1" x14ac:dyDescent="0.25">
      <c r="H250" s="731"/>
    </row>
    <row r="251" spans="8:8" ht="15.75" customHeight="1" x14ac:dyDescent="0.25">
      <c r="H251" s="731"/>
    </row>
    <row r="252" spans="8:8" ht="15.75" customHeight="1" x14ac:dyDescent="0.25">
      <c r="H252" s="731"/>
    </row>
    <row r="253" spans="8:8" ht="15.75" customHeight="1" x14ac:dyDescent="0.25">
      <c r="H253" s="731"/>
    </row>
    <row r="254" spans="8:8" ht="15.75" customHeight="1" x14ac:dyDescent="0.25">
      <c r="H254" s="731"/>
    </row>
    <row r="255" spans="8:8" ht="15.75" customHeight="1" x14ac:dyDescent="0.25">
      <c r="H255" s="731"/>
    </row>
    <row r="256" spans="8:8" ht="15.75" customHeight="1" x14ac:dyDescent="0.25">
      <c r="H256" s="731"/>
    </row>
    <row r="257" spans="8:8" ht="15.75" customHeight="1" x14ac:dyDescent="0.25">
      <c r="H257" s="731"/>
    </row>
    <row r="258" spans="8:8" ht="15.75" customHeight="1" x14ac:dyDescent="0.25">
      <c r="H258" s="731"/>
    </row>
    <row r="259" spans="8:8" ht="15.75" customHeight="1" x14ac:dyDescent="0.25">
      <c r="H259" s="731"/>
    </row>
    <row r="260" spans="8:8" ht="15.75" customHeight="1" x14ac:dyDescent="0.25">
      <c r="H260" s="731"/>
    </row>
    <row r="261" spans="8:8" ht="15.75" customHeight="1" x14ac:dyDescent="0.25">
      <c r="H261" s="731"/>
    </row>
    <row r="262" spans="8:8" ht="15.75" customHeight="1" x14ac:dyDescent="0.25">
      <c r="H262" s="731"/>
    </row>
    <row r="263" spans="8:8" ht="15.75" customHeight="1" x14ac:dyDescent="0.25">
      <c r="H263" s="731"/>
    </row>
    <row r="264" spans="8:8" ht="15.75" customHeight="1" x14ac:dyDescent="0.25">
      <c r="H264" s="731"/>
    </row>
    <row r="265" spans="8:8" ht="15.75" customHeight="1" x14ac:dyDescent="0.25">
      <c r="H265" s="731"/>
    </row>
    <row r="266" spans="8:8" ht="15.75" customHeight="1" x14ac:dyDescent="0.25">
      <c r="H266" s="731"/>
    </row>
    <row r="267" spans="8:8" ht="15.75" customHeight="1" x14ac:dyDescent="0.25">
      <c r="H267" s="731"/>
    </row>
    <row r="268" spans="8:8" ht="15.75" customHeight="1" x14ac:dyDescent="0.25">
      <c r="H268" s="731"/>
    </row>
    <row r="269" spans="8:8" ht="15.75" customHeight="1" x14ac:dyDescent="0.25">
      <c r="H269" s="731"/>
    </row>
    <row r="270" spans="8:8" ht="15.75" customHeight="1" x14ac:dyDescent="0.25">
      <c r="H270" s="731"/>
    </row>
    <row r="271" spans="8:8" ht="15.75" customHeight="1" x14ac:dyDescent="0.25">
      <c r="H271" s="731"/>
    </row>
    <row r="272" spans="8:8" ht="15.75" customHeight="1" x14ac:dyDescent="0.25">
      <c r="H272" s="731"/>
    </row>
    <row r="273" spans="8:8" ht="15.75" customHeight="1" x14ac:dyDescent="0.25">
      <c r="H273" s="731"/>
    </row>
    <row r="274" spans="8:8" ht="15.75" customHeight="1" x14ac:dyDescent="0.25">
      <c r="H274" s="731"/>
    </row>
    <row r="275" spans="8:8" ht="15.75" customHeight="1" x14ac:dyDescent="0.25">
      <c r="H275" s="731"/>
    </row>
    <row r="276" spans="8:8" ht="15.75" customHeight="1" x14ac:dyDescent="0.25">
      <c r="H276" s="731"/>
    </row>
    <row r="277" spans="8:8" ht="15.75" customHeight="1" x14ac:dyDescent="0.25">
      <c r="H277" s="731"/>
    </row>
    <row r="278" spans="8:8" ht="15.75" customHeight="1" x14ac:dyDescent="0.25">
      <c r="H278" s="731"/>
    </row>
    <row r="279" spans="8:8" ht="15.75" customHeight="1" x14ac:dyDescent="0.25">
      <c r="H279" s="731"/>
    </row>
    <row r="280" spans="8:8" ht="15.75" customHeight="1" x14ac:dyDescent="0.25">
      <c r="H280" s="731"/>
    </row>
    <row r="281" spans="8:8" ht="15.75" customHeight="1" x14ac:dyDescent="0.25">
      <c r="H281" s="731"/>
    </row>
    <row r="282" spans="8:8" ht="15.75" customHeight="1" x14ac:dyDescent="0.25">
      <c r="H282" s="731"/>
    </row>
    <row r="283" spans="8:8" ht="15.75" customHeight="1" x14ac:dyDescent="0.25">
      <c r="H283" s="731"/>
    </row>
    <row r="284" spans="8:8" ht="15.75" customHeight="1" x14ac:dyDescent="0.25">
      <c r="H284" s="731"/>
    </row>
    <row r="285" spans="8:8" ht="15.75" customHeight="1" x14ac:dyDescent="0.25">
      <c r="H285" s="731"/>
    </row>
    <row r="286" spans="8:8" ht="15.75" customHeight="1" x14ac:dyDescent="0.25">
      <c r="H286" s="731"/>
    </row>
    <row r="287" spans="8:8" ht="15.75" customHeight="1" x14ac:dyDescent="0.25">
      <c r="H287" s="731"/>
    </row>
    <row r="288" spans="8:8" ht="15.75" customHeight="1" x14ac:dyDescent="0.25">
      <c r="H288" s="731"/>
    </row>
    <row r="289" spans="8:8" ht="15.75" customHeight="1" x14ac:dyDescent="0.25">
      <c r="H289" s="731"/>
    </row>
    <row r="290" spans="8:8" ht="15.75" customHeight="1" x14ac:dyDescent="0.25">
      <c r="H290" s="731"/>
    </row>
    <row r="291" spans="8:8" ht="15.75" customHeight="1" x14ac:dyDescent="0.25">
      <c r="H291" s="731"/>
    </row>
    <row r="292" spans="8:8" ht="15.75" customHeight="1" x14ac:dyDescent="0.25">
      <c r="H292" s="731"/>
    </row>
    <row r="293" spans="8:8" ht="15.75" customHeight="1" x14ac:dyDescent="0.25">
      <c r="H293" s="731"/>
    </row>
    <row r="294" spans="8:8" ht="15.75" customHeight="1" x14ac:dyDescent="0.25">
      <c r="H294" s="731"/>
    </row>
    <row r="295" spans="8:8" ht="15.75" customHeight="1" x14ac:dyDescent="0.25">
      <c r="H295" s="731"/>
    </row>
    <row r="296" spans="8:8" ht="15.75" customHeight="1" x14ac:dyDescent="0.25">
      <c r="H296" s="731"/>
    </row>
    <row r="297" spans="8:8" ht="15.75" customHeight="1" x14ac:dyDescent="0.25">
      <c r="H297" s="731"/>
    </row>
    <row r="298" spans="8:8" ht="15.75" customHeight="1" x14ac:dyDescent="0.25">
      <c r="H298" s="731"/>
    </row>
    <row r="299" spans="8:8" ht="15.75" customHeight="1" x14ac:dyDescent="0.25">
      <c r="H299" s="731"/>
    </row>
    <row r="300" spans="8:8" ht="15.75" customHeight="1" x14ac:dyDescent="0.25">
      <c r="H300" s="731"/>
    </row>
    <row r="301" spans="8:8" ht="15.75" customHeight="1" x14ac:dyDescent="0.25">
      <c r="H301" s="731"/>
    </row>
    <row r="302" spans="8:8" ht="15.75" customHeight="1" x14ac:dyDescent="0.25">
      <c r="H302" s="731"/>
    </row>
    <row r="303" spans="8:8" ht="15.75" customHeight="1" x14ac:dyDescent="0.25">
      <c r="H303" s="731"/>
    </row>
    <row r="304" spans="8:8" ht="15.75" customHeight="1" x14ac:dyDescent="0.25">
      <c r="H304" s="731"/>
    </row>
    <row r="305" spans="8:8" ht="15.75" customHeight="1" x14ac:dyDescent="0.25">
      <c r="H305" s="731"/>
    </row>
    <row r="306" spans="8:8" ht="15.75" customHeight="1" x14ac:dyDescent="0.25">
      <c r="H306" s="731"/>
    </row>
    <row r="307" spans="8:8" ht="15.75" customHeight="1" x14ac:dyDescent="0.25">
      <c r="H307" s="731"/>
    </row>
    <row r="308" spans="8:8" ht="15.75" customHeight="1" x14ac:dyDescent="0.25">
      <c r="H308" s="731"/>
    </row>
    <row r="309" spans="8:8" ht="15.75" customHeight="1" x14ac:dyDescent="0.25">
      <c r="H309" s="731"/>
    </row>
    <row r="310" spans="8:8" ht="15.75" customHeight="1" x14ac:dyDescent="0.25">
      <c r="H310" s="731"/>
    </row>
    <row r="311" spans="8:8" ht="15.75" customHeight="1" x14ac:dyDescent="0.25">
      <c r="H311" s="731"/>
    </row>
    <row r="312" spans="8:8" ht="15.75" customHeight="1" x14ac:dyDescent="0.25">
      <c r="H312" s="731"/>
    </row>
    <row r="313" spans="8:8" ht="15.75" customHeight="1" x14ac:dyDescent="0.25">
      <c r="H313" s="731"/>
    </row>
    <row r="314" spans="8:8" ht="15.75" customHeight="1" x14ac:dyDescent="0.25">
      <c r="H314" s="731"/>
    </row>
    <row r="315" spans="8:8" ht="15.75" customHeight="1" x14ac:dyDescent="0.25">
      <c r="H315" s="731"/>
    </row>
    <row r="316" spans="8:8" ht="15.75" customHeight="1" x14ac:dyDescent="0.25">
      <c r="H316" s="731"/>
    </row>
    <row r="317" spans="8:8" ht="15.75" customHeight="1" x14ac:dyDescent="0.25">
      <c r="H317" s="731"/>
    </row>
    <row r="318" spans="8:8" ht="15.75" customHeight="1" x14ac:dyDescent="0.25">
      <c r="H318" s="731"/>
    </row>
    <row r="319" spans="8:8" ht="15.75" customHeight="1" x14ac:dyDescent="0.25">
      <c r="H319" s="731"/>
    </row>
    <row r="320" spans="8:8" ht="15.75" customHeight="1" x14ac:dyDescent="0.25">
      <c r="H320" s="731"/>
    </row>
    <row r="321" spans="8:8" ht="15.75" customHeight="1" x14ac:dyDescent="0.25">
      <c r="H321" s="731"/>
    </row>
    <row r="322" spans="8:8" ht="15.75" customHeight="1" x14ac:dyDescent="0.25">
      <c r="H322" s="731"/>
    </row>
    <row r="323" spans="8:8" ht="15.75" customHeight="1" x14ac:dyDescent="0.25">
      <c r="H323" s="731"/>
    </row>
    <row r="324" spans="8:8" ht="15.75" customHeight="1" x14ac:dyDescent="0.25">
      <c r="H324" s="731"/>
    </row>
    <row r="325" spans="8:8" ht="15.75" customHeight="1" x14ac:dyDescent="0.25">
      <c r="H325" s="731"/>
    </row>
    <row r="326" spans="8:8" ht="15.75" customHeight="1" x14ac:dyDescent="0.25">
      <c r="H326" s="731"/>
    </row>
    <row r="327" spans="8:8" ht="15.75" customHeight="1" x14ac:dyDescent="0.25">
      <c r="H327" s="731"/>
    </row>
    <row r="328" spans="8:8" ht="15.75" customHeight="1" x14ac:dyDescent="0.25">
      <c r="H328" s="731"/>
    </row>
    <row r="329" spans="8:8" ht="15.75" customHeight="1" x14ac:dyDescent="0.25">
      <c r="H329" s="731"/>
    </row>
    <row r="330" spans="8:8" ht="15.75" customHeight="1" x14ac:dyDescent="0.25">
      <c r="H330" s="731"/>
    </row>
    <row r="331" spans="8:8" ht="15.75" customHeight="1" x14ac:dyDescent="0.25">
      <c r="H331" s="731"/>
    </row>
    <row r="332" spans="8:8" ht="15.75" customHeight="1" x14ac:dyDescent="0.25">
      <c r="H332" s="731"/>
    </row>
    <row r="333" spans="8:8" ht="15.75" customHeight="1" x14ac:dyDescent="0.25">
      <c r="H333" s="731"/>
    </row>
    <row r="334" spans="8:8" ht="15.75" customHeight="1" x14ac:dyDescent="0.25">
      <c r="H334" s="731"/>
    </row>
    <row r="335" spans="8:8" ht="15.75" customHeight="1" x14ac:dyDescent="0.25">
      <c r="H335" s="731"/>
    </row>
    <row r="336" spans="8:8" ht="15.75" customHeight="1" x14ac:dyDescent="0.25">
      <c r="H336" s="731"/>
    </row>
    <row r="337" spans="8:8" ht="15.75" customHeight="1" x14ac:dyDescent="0.25">
      <c r="H337" s="731"/>
    </row>
    <row r="338" spans="8:8" ht="15.75" customHeight="1" x14ac:dyDescent="0.25">
      <c r="H338" s="731"/>
    </row>
    <row r="339" spans="8:8" ht="15.75" customHeight="1" x14ac:dyDescent="0.25">
      <c r="H339" s="731"/>
    </row>
    <row r="340" spans="8:8" ht="15.75" customHeight="1" x14ac:dyDescent="0.25">
      <c r="H340" s="731"/>
    </row>
    <row r="341" spans="8:8" ht="15.75" customHeight="1" x14ac:dyDescent="0.25">
      <c r="H341" s="731"/>
    </row>
    <row r="342" spans="8:8" ht="15.75" customHeight="1" x14ac:dyDescent="0.25">
      <c r="H342" s="731"/>
    </row>
    <row r="343" spans="8:8" ht="15.75" customHeight="1" x14ac:dyDescent="0.25">
      <c r="H343" s="731"/>
    </row>
    <row r="344" spans="8:8" ht="15.75" customHeight="1" x14ac:dyDescent="0.25">
      <c r="H344" s="731"/>
    </row>
    <row r="345" spans="8:8" ht="15.75" customHeight="1" x14ac:dyDescent="0.25">
      <c r="H345" s="731"/>
    </row>
    <row r="346" spans="8:8" ht="15.75" customHeight="1" x14ac:dyDescent="0.25">
      <c r="H346" s="731"/>
    </row>
    <row r="347" spans="8:8" ht="15.75" customHeight="1" x14ac:dyDescent="0.25">
      <c r="H347" s="731"/>
    </row>
    <row r="348" spans="8:8" ht="15.75" customHeight="1" x14ac:dyDescent="0.25">
      <c r="H348" s="731"/>
    </row>
    <row r="349" spans="8:8" ht="15.75" customHeight="1" x14ac:dyDescent="0.25">
      <c r="H349" s="731"/>
    </row>
    <row r="350" spans="8:8" ht="15.75" customHeight="1" x14ac:dyDescent="0.25">
      <c r="H350" s="731"/>
    </row>
    <row r="351" spans="8:8" ht="15.75" customHeight="1" x14ac:dyDescent="0.25">
      <c r="H351" s="731"/>
    </row>
    <row r="352" spans="8:8" ht="15.75" customHeight="1" x14ac:dyDescent="0.25">
      <c r="H352" s="731"/>
    </row>
    <row r="353" spans="8:8" ht="15.75" customHeight="1" x14ac:dyDescent="0.25">
      <c r="H353" s="731"/>
    </row>
    <row r="354" spans="8:8" ht="15.75" customHeight="1" x14ac:dyDescent="0.25">
      <c r="H354" s="731"/>
    </row>
    <row r="355" spans="8:8" ht="15.75" customHeight="1" x14ac:dyDescent="0.25">
      <c r="H355" s="731"/>
    </row>
    <row r="356" spans="8:8" ht="15.75" customHeight="1" x14ac:dyDescent="0.25">
      <c r="H356" s="731"/>
    </row>
    <row r="357" spans="8:8" ht="15.75" customHeight="1" x14ac:dyDescent="0.25">
      <c r="H357" s="731"/>
    </row>
    <row r="358" spans="8:8" ht="15.75" customHeight="1" x14ac:dyDescent="0.25">
      <c r="H358" s="731"/>
    </row>
    <row r="359" spans="8:8" ht="15.75" customHeight="1" x14ac:dyDescent="0.25">
      <c r="H359" s="731"/>
    </row>
    <row r="360" spans="8:8" ht="15.75" customHeight="1" x14ac:dyDescent="0.25">
      <c r="H360" s="731"/>
    </row>
    <row r="361" spans="8:8" ht="15.75" customHeight="1" x14ac:dyDescent="0.25">
      <c r="H361" s="731"/>
    </row>
    <row r="362" spans="8:8" ht="15.75" customHeight="1" x14ac:dyDescent="0.25">
      <c r="H362" s="731"/>
    </row>
    <row r="363" spans="8:8" ht="15.75" customHeight="1" x14ac:dyDescent="0.25">
      <c r="H363" s="731"/>
    </row>
    <row r="364" spans="8:8" ht="15.75" customHeight="1" x14ac:dyDescent="0.25">
      <c r="H364" s="731"/>
    </row>
    <row r="365" spans="8:8" ht="15.75" customHeight="1" x14ac:dyDescent="0.25">
      <c r="H365" s="731"/>
    </row>
    <row r="366" spans="8:8" ht="15.75" customHeight="1" x14ac:dyDescent="0.25">
      <c r="H366" s="731"/>
    </row>
    <row r="367" spans="8:8" ht="15.75" customHeight="1" x14ac:dyDescent="0.25">
      <c r="H367" s="731"/>
    </row>
    <row r="368" spans="8:8" ht="15.75" customHeight="1" x14ac:dyDescent="0.25">
      <c r="H368" s="731"/>
    </row>
    <row r="369" spans="8:8" ht="15.75" customHeight="1" x14ac:dyDescent="0.25">
      <c r="H369" s="731"/>
    </row>
    <row r="370" spans="8:8" ht="15.75" customHeight="1" x14ac:dyDescent="0.25">
      <c r="H370" s="731"/>
    </row>
    <row r="371" spans="8:8" ht="15.75" customHeight="1" x14ac:dyDescent="0.25">
      <c r="H371" s="731"/>
    </row>
    <row r="372" spans="8:8" ht="15.75" customHeight="1" x14ac:dyDescent="0.25">
      <c r="H372" s="731"/>
    </row>
    <row r="373" spans="8:8" ht="15.75" customHeight="1" x14ac:dyDescent="0.25">
      <c r="H373" s="731"/>
    </row>
    <row r="374" spans="8:8" ht="15.75" customHeight="1" x14ac:dyDescent="0.25">
      <c r="H374" s="731"/>
    </row>
    <row r="375" spans="8:8" ht="15.75" customHeight="1" x14ac:dyDescent="0.25">
      <c r="H375" s="731"/>
    </row>
    <row r="376" spans="8:8" ht="15.75" customHeight="1" x14ac:dyDescent="0.25">
      <c r="H376" s="731"/>
    </row>
    <row r="377" spans="8:8" ht="15.75" customHeight="1" x14ac:dyDescent="0.25">
      <c r="H377" s="731"/>
    </row>
    <row r="378" spans="8:8" ht="15.75" customHeight="1" x14ac:dyDescent="0.25">
      <c r="H378" s="731"/>
    </row>
    <row r="379" spans="8:8" ht="15.75" customHeight="1" x14ac:dyDescent="0.25">
      <c r="H379" s="731"/>
    </row>
    <row r="380" spans="8:8" ht="15.75" customHeight="1" x14ac:dyDescent="0.25">
      <c r="H380" s="731"/>
    </row>
    <row r="381" spans="8:8" ht="15.75" customHeight="1" x14ac:dyDescent="0.25">
      <c r="H381" s="731"/>
    </row>
    <row r="382" spans="8:8" ht="15.75" customHeight="1" x14ac:dyDescent="0.25">
      <c r="H382" s="731"/>
    </row>
    <row r="383" spans="8:8" ht="15.75" customHeight="1" x14ac:dyDescent="0.25">
      <c r="H383" s="731"/>
    </row>
    <row r="384" spans="8:8" ht="15.75" customHeight="1" x14ac:dyDescent="0.25">
      <c r="H384" s="731"/>
    </row>
    <row r="385" spans="8:8" ht="15.75" customHeight="1" x14ac:dyDescent="0.25">
      <c r="H385" s="731"/>
    </row>
    <row r="386" spans="8:8" ht="15.75" customHeight="1" x14ac:dyDescent="0.25">
      <c r="H386" s="731"/>
    </row>
    <row r="387" spans="8:8" ht="15.75" customHeight="1" x14ac:dyDescent="0.25">
      <c r="H387" s="731"/>
    </row>
    <row r="388" spans="8:8" ht="15.75" customHeight="1" x14ac:dyDescent="0.25">
      <c r="H388" s="731"/>
    </row>
    <row r="389" spans="8:8" ht="15.75" customHeight="1" x14ac:dyDescent="0.25">
      <c r="H389" s="731"/>
    </row>
    <row r="390" spans="8:8" ht="15.75" customHeight="1" x14ac:dyDescent="0.25">
      <c r="H390" s="731"/>
    </row>
    <row r="391" spans="8:8" ht="15.75" customHeight="1" x14ac:dyDescent="0.25">
      <c r="H391" s="731"/>
    </row>
    <row r="392" spans="8:8" ht="15.75" customHeight="1" x14ac:dyDescent="0.25">
      <c r="H392" s="731"/>
    </row>
    <row r="393" spans="8:8" ht="15.75" customHeight="1" x14ac:dyDescent="0.25">
      <c r="H393" s="731"/>
    </row>
    <row r="394" spans="8:8" ht="15.75" customHeight="1" x14ac:dyDescent="0.25">
      <c r="H394" s="731"/>
    </row>
    <row r="395" spans="8:8" ht="15.75" customHeight="1" x14ac:dyDescent="0.25">
      <c r="H395" s="731"/>
    </row>
    <row r="396" spans="8:8" ht="15.75" customHeight="1" x14ac:dyDescent="0.25">
      <c r="H396" s="731"/>
    </row>
    <row r="397" spans="8:8" ht="15.75" customHeight="1" x14ac:dyDescent="0.25">
      <c r="H397" s="731"/>
    </row>
    <row r="398" spans="8:8" ht="15.75" customHeight="1" x14ac:dyDescent="0.25">
      <c r="H398" s="731"/>
    </row>
    <row r="399" spans="8:8" ht="15.75" customHeight="1" x14ac:dyDescent="0.25">
      <c r="H399" s="731"/>
    </row>
    <row r="400" spans="8:8" ht="15.75" customHeight="1" x14ac:dyDescent="0.25">
      <c r="H400" s="731"/>
    </row>
    <row r="401" spans="8:8" ht="15.75" customHeight="1" x14ac:dyDescent="0.25">
      <c r="H401" s="731"/>
    </row>
    <row r="402" spans="8:8" ht="15.75" customHeight="1" x14ac:dyDescent="0.25">
      <c r="H402" s="731"/>
    </row>
    <row r="403" spans="8:8" ht="15.75" customHeight="1" x14ac:dyDescent="0.25">
      <c r="H403" s="731"/>
    </row>
    <row r="404" spans="8:8" ht="15.75" customHeight="1" x14ac:dyDescent="0.25">
      <c r="H404" s="731"/>
    </row>
    <row r="405" spans="8:8" ht="15.75" customHeight="1" x14ac:dyDescent="0.25">
      <c r="H405" s="731"/>
    </row>
    <row r="406" spans="8:8" ht="15.75" customHeight="1" x14ac:dyDescent="0.25">
      <c r="H406" s="731"/>
    </row>
    <row r="407" spans="8:8" ht="15.75" customHeight="1" x14ac:dyDescent="0.25">
      <c r="H407" s="731"/>
    </row>
    <row r="408" spans="8:8" ht="15.75" customHeight="1" x14ac:dyDescent="0.25">
      <c r="H408" s="731"/>
    </row>
    <row r="409" spans="8:8" ht="15.75" customHeight="1" x14ac:dyDescent="0.25">
      <c r="H409" s="731"/>
    </row>
    <row r="410" spans="8:8" ht="15.75" customHeight="1" x14ac:dyDescent="0.25">
      <c r="H410" s="731"/>
    </row>
    <row r="411" spans="8:8" ht="15.75" customHeight="1" x14ac:dyDescent="0.25">
      <c r="H411" s="731"/>
    </row>
    <row r="412" spans="8:8" ht="15.75" customHeight="1" x14ac:dyDescent="0.25">
      <c r="H412" s="731"/>
    </row>
    <row r="413" spans="8:8" ht="15.75" customHeight="1" x14ac:dyDescent="0.25">
      <c r="H413" s="731"/>
    </row>
    <row r="414" spans="8:8" ht="15.75" customHeight="1" x14ac:dyDescent="0.25">
      <c r="H414" s="731"/>
    </row>
    <row r="415" spans="8:8" ht="15.75" customHeight="1" x14ac:dyDescent="0.25">
      <c r="H415" s="731"/>
    </row>
    <row r="416" spans="8:8" ht="15.75" customHeight="1" x14ac:dyDescent="0.25">
      <c r="H416" s="731"/>
    </row>
    <row r="417" spans="8:8" ht="15.75" customHeight="1" x14ac:dyDescent="0.25">
      <c r="H417" s="731"/>
    </row>
    <row r="418" spans="8:8" ht="15.75" customHeight="1" x14ac:dyDescent="0.25">
      <c r="H418" s="731"/>
    </row>
    <row r="419" spans="8:8" ht="15.75" customHeight="1" x14ac:dyDescent="0.25">
      <c r="H419" s="731"/>
    </row>
    <row r="420" spans="8:8" ht="15.75" customHeight="1" x14ac:dyDescent="0.25">
      <c r="H420" s="731"/>
    </row>
    <row r="421" spans="8:8" ht="15.75" customHeight="1" x14ac:dyDescent="0.25">
      <c r="H421" s="731"/>
    </row>
    <row r="422" spans="8:8" ht="15.75" customHeight="1" x14ac:dyDescent="0.25">
      <c r="H422" s="731"/>
    </row>
    <row r="423" spans="8:8" ht="15.75" customHeight="1" x14ac:dyDescent="0.25">
      <c r="H423" s="731"/>
    </row>
    <row r="424" spans="8:8" ht="15.75" customHeight="1" x14ac:dyDescent="0.25">
      <c r="H424" s="731"/>
    </row>
    <row r="425" spans="8:8" ht="15.75" customHeight="1" x14ac:dyDescent="0.25">
      <c r="H425" s="731"/>
    </row>
    <row r="426" spans="8:8" ht="15.75" customHeight="1" x14ac:dyDescent="0.25">
      <c r="H426" s="731"/>
    </row>
    <row r="427" spans="8:8" ht="15.75" customHeight="1" x14ac:dyDescent="0.25">
      <c r="H427" s="731"/>
    </row>
    <row r="428" spans="8:8" ht="15.75" customHeight="1" x14ac:dyDescent="0.25">
      <c r="H428" s="731"/>
    </row>
    <row r="429" spans="8:8" ht="15.75" customHeight="1" x14ac:dyDescent="0.25">
      <c r="H429" s="731"/>
    </row>
    <row r="430" spans="8:8" ht="15.75" customHeight="1" x14ac:dyDescent="0.25">
      <c r="H430" s="731"/>
    </row>
    <row r="431" spans="8:8" ht="15.75" customHeight="1" x14ac:dyDescent="0.25">
      <c r="H431" s="731"/>
    </row>
    <row r="432" spans="8:8" ht="15.75" customHeight="1" x14ac:dyDescent="0.25">
      <c r="H432" s="731"/>
    </row>
    <row r="433" spans="8:8" ht="15.75" customHeight="1" x14ac:dyDescent="0.25">
      <c r="H433" s="731"/>
    </row>
    <row r="434" spans="8:8" ht="15.75" customHeight="1" x14ac:dyDescent="0.25">
      <c r="H434" s="731"/>
    </row>
    <row r="435" spans="8:8" ht="15.75" customHeight="1" x14ac:dyDescent="0.25">
      <c r="H435" s="731"/>
    </row>
    <row r="436" spans="8:8" ht="15.75" customHeight="1" x14ac:dyDescent="0.25">
      <c r="H436" s="731"/>
    </row>
    <row r="437" spans="8:8" ht="15.75" customHeight="1" x14ac:dyDescent="0.25">
      <c r="H437" s="731"/>
    </row>
    <row r="438" spans="8:8" ht="15.75" customHeight="1" x14ac:dyDescent="0.25">
      <c r="H438" s="731"/>
    </row>
    <row r="439" spans="8:8" ht="15.75" customHeight="1" x14ac:dyDescent="0.25">
      <c r="H439" s="731"/>
    </row>
    <row r="440" spans="8:8" ht="15.75" customHeight="1" x14ac:dyDescent="0.25">
      <c r="H440" s="731"/>
    </row>
    <row r="441" spans="8:8" ht="15.75" customHeight="1" x14ac:dyDescent="0.25">
      <c r="H441" s="731"/>
    </row>
    <row r="442" spans="8:8" ht="15.75" customHeight="1" x14ac:dyDescent="0.25">
      <c r="H442" s="731"/>
    </row>
    <row r="443" spans="8:8" ht="15.75" customHeight="1" x14ac:dyDescent="0.25">
      <c r="H443" s="731"/>
    </row>
    <row r="444" spans="8:8" ht="15.75" customHeight="1" x14ac:dyDescent="0.25">
      <c r="H444" s="731"/>
    </row>
    <row r="445" spans="8:8" ht="15.75" customHeight="1" x14ac:dyDescent="0.25">
      <c r="H445" s="731"/>
    </row>
    <row r="446" spans="8:8" ht="15.75" customHeight="1" x14ac:dyDescent="0.25">
      <c r="H446" s="731"/>
    </row>
    <row r="447" spans="8:8" ht="15.75" customHeight="1" x14ac:dyDescent="0.25">
      <c r="H447" s="731"/>
    </row>
    <row r="448" spans="8:8" ht="15.75" customHeight="1" x14ac:dyDescent="0.25">
      <c r="H448" s="731"/>
    </row>
    <row r="449" spans="8:8" ht="15.75" customHeight="1" x14ac:dyDescent="0.25">
      <c r="H449" s="731"/>
    </row>
    <row r="450" spans="8:8" ht="15.75" customHeight="1" x14ac:dyDescent="0.25">
      <c r="H450" s="731"/>
    </row>
    <row r="451" spans="8:8" ht="15.75" customHeight="1" x14ac:dyDescent="0.25">
      <c r="H451" s="731"/>
    </row>
    <row r="452" spans="8:8" ht="15.75" customHeight="1" x14ac:dyDescent="0.25">
      <c r="H452" s="731"/>
    </row>
    <row r="453" spans="8:8" ht="15.75" customHeight="1" x14ac:dyDescent="0.25">
      <c r="H453" s="731"/>
    </row>
    <row r="454" spans="8:8" ht="15.75" customHeight="1" x14ac:dyDescent="0.25">
      <c r="H454" s="731"/>
    </row>
    <row r="455" spans="8:8" ht="15.75" customHeight="1" x14ac:dyDescent="0.25">
      <c r="H455" s="731"/>
    </row>
    <row r="456" spans="8:8" ht="15.75" customHeight="1" x14ac:dyDescent="0.25">
      <c r="H456" s="731"/>
    </row>
    <row r="457" spans="8:8" ht="15.75" customHeight="1" x14ac:dyDescent="0.25">
      <c r="H457" s="731"/>
    </row>
    <row r="458" spans="8:8" ht="15.75" customHeight="1" x14ac:dyDescent="0.25">
      <c r="H458" s="731"/>
    </row>
    <row r="459" spans="8:8" ht="15.75" customHeight="1" x14ac:dyDescent="0.25">
      <c r="H459" s="731"/>
    </row>
    <row r="460" spans="8:8" ht="15.75" customHeight="1" x14ac:dyDescent="0.25">
      <c r="H460" s="731"/>
    </row>
    <row r="461" spans="8:8" ht="15.75" customHeight="1" x14ac:dyDescent="0.25">
      <c r="H461" s="731"/>
    </row>
    <row r="462" spans="8:8" ht="15.75" customHeight="1" x14ac:dyDescent="0.25">
      <c r="H462" s="731"/>
    </row>
    <row r="463" spans="8:8" ht="15.75" customHeight="1" x14ac:dyDescent="0.25">
      <c r="H463" s="731"/>
    </row>
    <row r="464" spans="8:8" ht="15.75" customHeight="1" x14ac:dyDescent="0.25">
      <c r="H464" s="731"/>
    </row>
    <row r="465" spans="8:8" ht="15.75" customHeight="1" x14ac:dyDescent="0.25">
      <c r="H465" s="731"/>
    </row>
    <row r="466" spans="8:8" ht="15.75" customHeight="1" x14ac:dyDescent="0.25">
      <c r="H466" s="731"/>
    </row>
    <row r="467" spans="8:8" ht="15.75" customHeight="1" x14ac:dyDescent="0.25">
      <c r="H467" s="731"/>
    </row>
    <row r="468" spans="8:8" ht="15.75" customHeight="1" x14ac:dyDescent="0.25">
      <c r="H468" s="731"/>
    </row>
    <row r="469" spans="8:8" ht="15.75" customHeight="1" x14ac:dyDescent="0.25">
      <c r="H469" s="731"/>
    </row>
    <row r="470" spans="8:8" ht="15.75" customHeight="1" x14ac:dyDescent="0.25">
      <c r="H470" s="731"/>
    </row>
    <row r="471" spans="8:8" ht="15.75" customHeight="1" x14ac:dyDescent="0.25">
      <c r="H471" s="731"/>
    </row>
    <row r="472" spans="8:8" ht="15.75" customHeight="1" x14ac:dyDescent="0.25">
      <c r="H472" s="731"/>
    </row>
    <row r="473" spans="8:8" ht="15.75" customHeight="1" x14ac:dyDescent="0.25">
      <c r="H473" s="731"/>
    </row>
    <row r="474" spans="8:8" ht="15.75" customHeight="1" x14ac:dyDescent="0.25">
      <c r="H474" s="731"/>
    </row>
    <row r="475" spans="8:8" ht="15.75" customHeight="1" x14ac:dyDescent="0.25">
      <c r="H475" s="731"/>
    </row>
    <row r="476" spans="8:8" ht="15.75" customHeight="1" x14ac:dyDescent="0.25">
      <c r="H476" s="731"/>
    </row>
    <row r="477" spans="8:8" ht="15.75" customHeight="1" x14ac:dyDescent="0.25">
      <c r="H477" s="731"/>
    </row>
    <row r="478" spans="8:8" ht="15.75" customHeight="1" x14ac:dyDescent="0.25">
      <c r="H478" s="731"/>
    </row>
    <row r="479" spans="8:8" ht="15.75" customHeight="1" x14ac:dyDescent="0.25">
      <c r="H479" s="731"/>
    </row>
    <row r="480" spans="8:8" ht="15.75" customHeight="1" x14ac:dyDescent="0.25">
      <c r="H480" s="731"/>
    </row>
    <row r="481" spans="8:8" ht="15.75" customHeight="1" x14ac:dyDescent="0.25">
      <c r="H481" s="731"/>
    </row>
    <row r="482" spans="8:8" ht="15.75" customHeight="1" x14ac:dyDescent="0.25">
      <c r="H482" s="731"/>
    </row>
    <row r="483" spans="8:8" ht="15.75" customHeight="1" x14ac:dyDescent="0.25">
      <c r="H483" s="731"/>
    </row>
    <row r="484" spans="8:8" ht="15.75" customHeight="1" x14ac:dyDescent="0.25">
      <c r="H484" s="731"/>
    </row>
    <row r="485" spans="8:8" ht="15.75" customHeight="1" x14ac:dyDescent="0.25">
      <c r="H485" s="731"/>
    </row>
    <row r="486" spans="8:8" ht="15.75" customHeight="1" x14ac:dyDescent="0.25">
      <c r="H486" s="731"/>
    </row>
    <row r="487" spans="8:8" ht="15.75" customHeight="1" x14ac:dyDescent="0.25">
      <c r="H487" s="731"/>
    </row>
    <row r="488" spans="8:8" ht="15.75" customHeight="1" x14ac:dyDescent="0.25">
      <c r="H488" s="731"/>
    </row>
    <row r="489" spans="8:8" ht="15.75" customHeight="1" x14ac:dyDescent="0.25">
      <c r="H489" s="731"/>
    </row>
    <row r="490" spans="8:8" ht="15.75" customHeight="1" x14ac:dyDescent="0.25">
      <c r="H490" s="731"/>
    </row>
    <row r="491" spans="8:8" ht="15.75" customHeight="1" x14ac:dyDescent="0.25">
      <c r="H491" s="731"/>
    </row>
    <row r="492" spans="8:8" ht="15.75" customHeight="1" x14ac:dyDescent="0.25">
      <c r="H492" s="731"/>
    </row>
    <row r="493" spans="8:8" ht="15.75" customHeight="1" x14ac:dyDescent="0.25">
      <c r="H493" s="731"/>
    </row>
    <row r="494" spans="8:8" ht="15.75" customHeight="1" x14ac:dyDescent="0.25">
      <c r="H494" s="731"/>
    </row>
    <row r="495" spans="8:8" ht="15.75" customHeight="1" x14ac:dyDescent="0.25">
      <c r="H495" s="731"/>
    </row>
    <row r="496" spans="8:8" ht="15.75" customHeight="1" x14ac:dyDescent="0.25">
      <c r="H496" s="731"/>
    </row>
    <row r="497" spans="8:8" ht="15.75" customHeight="1" x14ac:dyDescent="0.25">
      <c r="H497" s="731"/>
    </row>
    <row r="498" spans="8:8" ht="15.75" customHeight="1" x14ac:dyDescent="0.25">
      <c r="H498" s="731"/>
    </row>
    <row r="499" spans="8:8" ht="15.75" customHeight="1" x14ac:dyDescent="0.25">
      <c r="H499" s="731"/>
    </row>
    <row r="500" spans="8:8" ht="15.75" customHeight="1" x14ac:dyDescent="0.25">
      <c r="H500" s="731"/>
    </row>
    <row r="501" spans="8:8" ht="15.75" customHeight="1" x14ac:dyDescent="0.25">
      <c r="H501" s="731"/>
    </row>
    <row r="502" spans="8:8" ht="15.75" customHeight="1" x14ac:dyDescent="0.25">
      <c r="H502" s="731"/>
    </row>
    <row r="503" spans="8:8" ht="15.75" customHeight="1" x14ac:dyDescent="0.25">
      <c r="H503" s="731"/>
    </row>
    <row r="504" spans="8:8" ht="15.75" customHeight="1" x14ac:dyDescent="0.25">
      <c r="H504" s="731"/>
    </row>
    <row r="505" spans="8:8" ht="15.75" customHeight="1" x14ac:dyDescent="0.25">
      <c r="H505" s="731"/>
    </row>
    <row r="506" spans="8:8" ht="15.75" customHeight="1" x14ac:dyDescent="0.25">
      <c r="H506" s="731"/>
    </row>
    <row r="507" spans="8:8" ht="15.75" customHeight="1" x14ac:dyDescent="0.25">
      <c r="H507" s="731"/>
    </row>
    <row r="508" spans="8:8" ht="15.75" customHeight="1" x14ac:dyDescent="0.25">
      <c r="H508" s="731"/>
    </row>
    <row r="509" spans="8:8" ht="15.75" customHeight="1" x14ac:dyDescent="0.25">
      <c r="H509" s="731"/>
    </row>
    <row r="510" spans="8:8" ht="15.75" customHeight="1" x14ac:dyDescent="0.25">
      <c r="H510" s="731"/>
    </row>
    <row r="511" spans="8:8" ht="15.75" customHeight="1" x14ac:dyDescent="0.25">
      <c r="H511" s="731"/>
    </row>
    <row r="512" spans="8:8" ht="15.75" customHeight="1" x14ac:dyDescent="0.25">
      <c r="H512" s="731"/>
    </row>
    <row r="513" spans="8:8" ht="15.75" customHeight="1" x14ac:dyDescent="0.25">
      <c r="H513" s="731"/>
    </row>
    <row r="514" spans="8:8" ht="15.75" customHeight="1" x14ac:dyDescent="0.25">
      <c r="H514" s="731"/>
    </row>
    <row r="515" spans="8:8" ht="15.75" customHeight="1" x14ac:dyDescent="0.25">
      <c r="H515" s="731"/>
    </row>
    <row r="516" spans="8:8" ht="15.75" customHeight="1" x14ac:dyDescent="0.25">
      <c r="H516" s="731"/>
    </row>
    <row r="517" spans="8:8" ht="15.75" customHeight="1" x14ac:dyDescent="0.25">
      <c r="H517" s="731"/>
    </row>
    <row r="518" spans="8:8" ht="15.75" customHeight="1" x14ac:dyDescent="0.25">
      <c r="H518" s="731"/>
    </row>
    <row r="519" spans="8:8" ht="15.75" customHeight="1" x14ac:dyDescent="0.25">
      <c r="H519" s="731"/>
    </row>
    <row r="520" spans="8:8" ht="15.75" customHeight="1" x14ac:dyDescent="0.25">
      <c r="H520" s="731"/>
    </row>
    <row r="521" spans="8:8" ht="15.75" customHeight="1" x14ac:dyDescent="0.25">
      <c r="H521" s="731"/>
    </row>
    <row r="522" spans="8:8" ht="15.75" customHeight="1" x14ac:dyDescent="0.25">
      <c r="H522" s="731"/>
    </row>
    <row r="523" spans="8:8" ht="15.75" customHeight="1" x14ac:dyDescent="0.25">
      <c r="H523" s="731"/>
    </row>
    <row r="524" spans="8:8" ht="15.75" customHeight="1" x14ac:dyDescent="0.25">
      <c r="H524" s="731"/>
    </row>
    <row r="525" spans="8:8" ht="15.75" customHeight="1" x14ac:dyDescent="0.25">
      <c r="H525" s="731"/>
    </row>
    <row r="526" spans="8:8" ht="15.75" customHeight="1" x14ac:dyDescent="0.25">
      <c r="H526" s="731"/>
    </row>
    <row r="527" spans="8:8" ht="15.75" customHeight="1" x14ac:dyDescent="0.25">
      <c r="H527" s="731"/>
    </row>
    <row r="528" spans="8:8" ht="15.75" customHeight="1" x14ac:dyDescent="0.25">
      <c r="H528" s="731"/>
    </row>
    <row r="529" spans="8:8" ht="15.75" customHeight="1" x14ac:dyDescent="0.25">
      <c r="H529" s="731"/>
    </row>
    <row r="530" spans="8:8" ht="15.75" customHeight="1" x14ac:dyDescent="0.25">
      <c r="H530" s="731"/>
    </row>
    <row r="531" spans="8:8" ht="15.75" customHeight="1" x14ac:dyDescent="0.25">
      <c r="H531" s="731"/>
    </row>
    <row r="532" spans="8:8" ht="15.75" customHeight="1" x14ac:dyDescent="0.25">
      <c r="H532" s="731"/>
    </row>
    <row r="533" spans="8:8" ht="15.75" customHeight="1" x14ac:dyDescent="0.25">
      <c r="H533" s="731"/>
    </row>
    <row r="534" spans="8:8" ht="15.75" customHeight="1" x14ac:dyDescent="0.25">
      <c r="H534" s="731"/>
    </row>
    <row r="535" spans="8:8" ht="15.75" customHeight="1" x14ac:dyDescent="0.25">
      <c r="H535" s="731"/>
    </row>
    <row r="536" spans="8:8" ht="15.75" customHeight="1" x14ac:dyDescent="0.25">
      <c r="H536" s="731"/>
    </row>
    <row r="537" spans="8:8" ht="15.75" customHeight="1" x14ac:dyDescent="0.25">
      <c r="H537" s="731"/>
    </row>
    <row r="538" spans="8:8" ht="15.75" customHeight="1" x14ac:dyDescent="0.25">
      <c r="H538" s="731"/>
    </row>
    <row r="539" spans="8:8" ht="15.75" customHeight="1" x14ac:dyDescent="0.25">
      <c r="H539" s="731"/>
    </row>
    <row r="540" spans="8:8" ht="15.75" customHeight="1" x14ac:dyDescent="0.25">
      <c r="H540" s="731"/>
    </row>
    <row r="541" spans="8:8" ht="15.75" customHeight="1" x14ac:dyDescent="0.25">
      <c r="H541" s="731"/>
    </row>
    <row r="542" spans="8:8" ht="15.75" customHeight="1" x14ac:dyDescent="0.25">
      <c r="H542" s="731"/>
    </row>
    <row r="543" spans="8:8" ht="15.75" customHeight="1" x14ac:dyDescent="0.25">
      <c r="H543" s="731"/>
    </row>
    <row r="544" spans="8:8" ht="15.75" customHeight="1" x14ac:dyDescent="0.25">
      <c r="H544" s="731"/>
    </row>
    <row r="545" spans="8:8" ht="15.75" customHeight="1" x14ac:dyDescent="0.25">
      <c r="H545" s="731"/>
    </row>
    <row r="546" spans="8:8" ht="15.75" customHeight="1" x14ac:dyDescent="0.25">
      <c r="H546" s="731"/>
    </row>
    <row r="547" spans="8:8" ht="15.75" customHeight="1" x14ac:dyDescent="0.25">
      <c r="H547" s="731"/>
    </row>
    <row r="548" spans="8:8" ht="15.75" customHeight="1" x14ac:dyDescent="0.25">
      <c r="H548" s="731"/>
    </row>
    <row r="549" spans="8:8" ht="15.75" customHeight="1" x14ac:dyDescent="0.25">
      <c r="H549" s="731"/>
    </row>
    <row r="550" spans="8:8" ht="15.75" customHeight="1" x14ac:dyDescent="0.25">
      <c r="H550" s="731"/>
    </row>
    <row r="551" spans="8:8" ht="15.75" customHeight="1" x14ac:dyDescent="0.25">
      <c r="H551" s="731"/>
    </row>
    <row r="552" spans="8:8" ht="15.75" customHeight="1" x14ac:dyDescent="0.25">
      <c r="H552" s="731"/>
    </row>
    <row r="553" spans="8:8" ht="15.75" customHeight="1" x14ac:dyDescent="0.25">
      <c r="H553" s="731"/>
    </row>
    <row r="554" spans="8:8" ht="15.75" customHeight="1" x14ac:dyDescent="0.25">
      <c r="H554" s="731"/>
    </row>
    <row r="555" spans="8:8" ht="15.75" customHeight="1" x14ac:dyDescent="0.25">
      <c r="H555" s="731"/>
    </row>
    <row r="556" spans="8:8" ht="15.75" customHeight="1" x14ac:dyDescent="0.25">
      <c r="H556" s="731"/>
    </row>
    <row r="557" spans="8:8" ht="15.75" customHeight="1" x14ac:dyDescent="0.25">
      <c r="H557" s="731"/>
    </row>
    <row r="558" spans="8:8" ht="15.75" customHeight="1" x14ac:dyDescent="0.25">
      <c r="H558" s="731"/>
    </row>
    <row r="559" spans="8:8" ht="15.75" customHeight="1" x14ac:dyDescent="0.25">
      <c r="H559" s="731"/>
    </row>
    <row r="560" spans="8:8" ht="15.75" customHeight="1" x14ac:dyDescent="0.25">
      <c r="H560" s="731"/>
    </row>
    <row r="561" spans="8:8" ht="15.75" customHeight="1" x14ac:dyDescent="0.25">
      <c r="H561" s="731"/>
    </row>
    <row r="562" spans="8:8" ht="15.75" customHeight="1" x14ac:dyDescent="0.25">
      <c r="H562" s="731"/>
    </row>
    <row r="563" spans="8:8" ht="15.75" customHeight="1" x14ac:dyDescent="0.25">
      <c r="H563" s="731"/>
    </row>
    <row r="564" spans="8:8" ht="15.75" customHeight="1" x14ac:dyDescent="0.25">
      <c r="H564" s="731"/>
    </row>
    <row r="565" spans="8:8" ht="15.75" customHeight="1" x14ac:dyDescent="0.25">
      <c r="H565" s="731"/>
    </row>
    <row r="566" spans="8:8" ht="15.75" customHeight="1" x14ac:dyDescent="0.25">
      <c r="H566" s="731"/>
    </row>
    <row r="567" spans="8:8" ht="15.75" customHeight="1" x14ac:dyDescent="0.25">
      <c r="H567" s="731"/>
    </row>
    <row r="568" spans="8:8" ht="15.75" customHeight="1" x14ac:dyDescent="0.25">
      <c r="H568" s="731"/>
    </row>
    <row r="569" spans="8:8" ht="15.75" customHeight="1" x14ac:dyDescent="0.25">
      <c r="H569" s="731"/>
    </row>
    <row r="570" spans="8:8" ht="15.75" customHeight="1" x14ac:dyDescent="0.25">
      <c r="H570" s="731"/>
    </row>
    <row r="571" spans="8:8" ht="15.75" customHeight="1" x14ac:dyDescent="0.25">
      <c r="H571" s="731"/>
    </row>
    <row r="572" spans="8:8" ht="15.75" customHeight="1" x14ac:dyDescent="0.25">
      <c r="H572" s="731"/>
    </row>
    <row r="573" spans="8:8" ht="15.75" customHeight="1" x14ac:dyDescent="0.25">
      <c r="H573" s="731"/>
    </row>
    <row r="574" spans="8:8" ht="15.75" customHeight="1" x14ac:dyDescent="0.25">
      <c r="H574" s="731"/>
    </row>
    <row r="575" spans="8:8" ht="15.75" customHeight="1" x14ac:dyDescent="0.25">
      <c r="H575" s="731"/>
    </row>
    <row r="576" spans="8:8" ht="15.75" customHeight="1" x14ac:dyDescent="0.25">
      <c r="H576" s="731"/>
    </row>
    <row r="577" spans="8:8" ht="15.75" customHeight="1" x14ac:dyDescent="0.25">
      <c r="H577" s="731"/>
    </row>
    <row r="578" spans="8:8" ht="15.75" customHeight="1" x14ac:dyDescent="0.25">
      <c r="H578" s="731"/>
    </row>
    <row r="579" spans="8:8" ht="15.75" customHeight="1" x14ac:dyDescent="0.25">
      <c r="H579" s="731"/>
    </row>
    <row r="580" spans="8:8" ht="15.75" customHeight="1" x14ac:dyDescent="0.25">
      <c r="H580" s="731"/>
    </row>
    <row r="581" spans="8:8" ht="15.75" customHeight="1" x14ac:dyDescent="0.25">
      <c r="H581" s="731"/>
    </row>
    <row r="582" spans="8:8" ht="15.75" customHeight="1" x14ac:dyDescent="0.25">
      <c r="H582" s="731"/>
    </row>
    <row r="583" spans="8:8" ht="15.75" customHeight="1" x14ac:dyDescent="0.25">
      <c r="H583" s="731"/>
    </row>
    <row r="584" spans="8:8" ht="15.75" customHeight="1" x14ac:dyDescent="0.25">
      <c r="H584" s="731"/>
    </row>
    <row r="585" spans="8:8" ht="15.75" customHeight="1" x14ac:dyDescent="0.25">
      <c r="H585" s="731"/>
    </row>
    <row r="586" spans="8:8" ht="15.75" customHeight="1" x14ac:dyDescent="0.25">
      <c r="H586" s="731"/>
    </row>
    <row r="587" spans="8:8" ht="15.75" customHeight="1" x14ac:dyDescent="0.25">
      <c r="H587" s="731"/>
    </row>
    <row r="588" spans="8:8" ht="15.75" customHeight="1" x14ac:dyDescent="0.25">
      <c r="H588" s="731"/>
    </row>
    <row r="589" spans="8:8" ht="15.75" customHeight="1" x14ac:dyDescent="0.25">
      <c r="H589" s="731"/>
    </row>
    <row r="590" spans="8:8" ht="15.75" customHeight="1" x14ac:dyDescent="0.25">
      <c r="H590" s="731"/>
    </row>
    <row r="591" spans="8:8" ht="15.75" customHeight="1" x14ac:dyDescent="0.25">
      <c r="H591" s="731"/>
    </row>
    <row r="592" spans="8:8" ht="15.75" customHeight="1" x14ac:dyDescent="0.25">
      <c r="H592" s="731"/>
    </row>
    <row r="593" spans="8:8" ht="15.75" customHeight="1" x14ac:dyDescent="0.25">
      <c r="H593" s="731"/>
    </row>
    <row r="594" spans="8:8" ht="15.75" customHeight="1" x14ac:dyDescent="0.25">
      <c r="H594" s="731"/>
    </row>
    <row r="595" spans="8:8" ht="15.75" customHeight="1" x14ac:dyDescent="0.25">
      <c r="H595" s="731"/>
    </row>
    <row r="596" spans="8:8" ht="15.75" customHeight="1" x14ac:dyDescent="0.25">
      <c r="H596" s="731"/>
    </row>
    <row r="597" spans="8:8" ht="15.75" customHeight="1" x14ac:dyDescent="0.25">
      <c r="H597" s="731"/>
    </row>
    <row r="598" spans="8:8" ht="15.75" customHeight="1" x14ac:dyDescent="0.25">
      <c r="H598" s="731"/>
    </row>
    <row r="599" spans="8:8" ht="15.75" customHeight="1" x14ac:dyDescent="0.25">
      <c r="H599" s="731"/>
    </row>
    <row r="600" spans="8:8" ht="15.75" customHeight="1" x14ac:dyDescent="0.25">
      <c r="H600" s="731"/>
    </row>
    <row r="601" spans="8:8" ht="15.75" customHeight="1" x14ac:dyDescent="0.25">
      <c r="H601" s="731"/>
    </row>
    <row r="602" spans="8:8" ht="15.75" customHeight="1" x14ac:dyDescent="0.25">
      <c r="H602" s="731"/>
    </row>
    <row r="603" spans="8:8" ht="15.75" customHeight="1" x14ac:dyDescent="0.25">
      <c r="H603" s="731"/>
    </row>
    <row r="604" spans="8:8" ht="15.75" customHeight="1" x14ac:dyDescent="0.25">
      <c r="H604" s="731"/>
    </row>
    <row r="605" spans="8:8" ht="15.75" customHeight="1" x14ac:dyDescent="0.25">
      <c r="H605" s="731"/>
    </row>
    <row r="606" spans="8:8" ht="15.75" customHeight="1" x14ac:dyDescent="0.25">
      <c r="H606" s="731"/>
    </row>
    <row r="607" spans="8:8" ht="15.75" customHeight="1" x14ac:dyDescent="0.25">
      <c r="H607" s="731"/>
    </row>
    <row r="608" spans="8:8" ht="15.75" customHeight="1" x14ac:dyDescent="0.25">
      <c r="H608" s="731"/>
    </row>
    <row r="609" spans="8:8" ht="15.75" customHeight="1" x14ac:dyDescent="0.25">
      <c r="H609" s="731"/>
    </row>
    <row r="610" spans="8:8" ht="15.75" customHeight="1" x14ac:dyDescent="0.25">
      <c r="H610" s="731"/>
    </row>
    <row r="611" spans="8:8" ht="15.75" customHeight="1" x14ac:dyDescent="0.25">
      <c r="H611" s="731"/>
    </row>
    <row r="612" spans="8:8" ht="15.75" customHeight="1" x14ac:dyDescent="0.25">
      <c r="H612" s="731"/>
    </row>
    <row r="613" spans="8:8" ht="15.75" customHeight="1" x14ac:dyDescent="0.25">
      <c r="H613" s="731"/>
    </row>
    <row r="614" spans="8:8" ht="15.75" customHeight="1" x14ac:dyDescent="0.25">
      <c r="H614" s="731"/>
    </row>
    <row r="615" spans="8:8" ht="15.75" customHeight="1" x14ac:dyDescent="0.25">
      <c r="H615" s="731"/>
    </row>
    <row r="616" spans="8:8" ht="15.75" customHeight="1" x14ac:dyDescent="0.25">
      <c r="H616" s="731"/>
    </row>
    <row r="617" spans="8:8" ht="15.75" customHeight="1" x14ac:dyDescent="0.25">
      <c r="H617" s="731"/>
    </row>
    <row r="618" spans="8:8" ht="15.75" customHeight="1" x14ac:dyDescent="0.25">
      <c r="H618" s="731"/>
    </row>
    <row r="619" spans="8:8" ht="15.75" customHeight="1" x14ac:dyDescent="0.25">
      <c r="H619" s="731"/>
    </row>
    <row r="620" spans="8:8" ht="15.75" customHeight="1" x14ac:dyDescent="0.25">
      <c r="H620" s="731"/>
    </row>
    <row r="621" spans="8:8" ht="15.75" customHeight="1" x14ac:dyDescent="0.25">
      <c r="H621" s="731"/>
    </row>
    <row r="622" spans="8:8" ht="15.75" customHeight="1" x14ac:dyDescent="0.25">
      <c r="H622" s="731"/>
    </row>
    <row r="623" spans="8:8" ht="15.75" customHeight="1" x14ac:dyDescent="0.25">
      <c r="H623" s="731"/>
    </row>
    <row r="624" spans="8:8" ht="15.75" customHeight="1" x14ac:dyDescent="0.25">
      <c r="H624" s="731"/>
    </row>
    <row r="625" spans="8:8" ht="15.75" customHeight="1" x14ac:dyDescent="0.25">
      <c r="H625" s="731"/>
    </row>
    <row r="626" spans="8:8" ht="15.75" customHeight="1" x14ac:dyDescent="0.25">
      <c r="H626" s="731"/>
    </row>
    <row r="627" spans="8:8" ht="15.75" customHeight="1" x14ac:dyDescent="0.25">
      <c r="H627" s="731"/>
    </row>
    <row r="628" spans="8:8" ht="15.75" customHeight="1" x14ac:dyDescent="0.25">
      <c r="H628" s="731"/>
    </row>
    <row r="629" spans="8:8" ht="15.75" customHeight="1" x14ac:dyDescent="0.25">
      <c r="H629" s="731"/>
    </row>
    <row r="630" spans="8:8" ht="15.75" customHeight="1" x14ac:dyDescent="0.25">
      <c r="H630" s="731"/>
    </row>
    <row r="631" spans="8:8" ht="15.75" customHeight="1" x14ac:dyDescent="0.25">
      <c r="H631" s="731"/>
    </row>
    <row r="632" spans="8:8" ht="15.75" customHeight="1" x14ac:dyDescent="0.25">
      <c r="H632" s="731"/>
    </row>
    <row r="633" spans="8:8" ht="15.75" customHeight="1" x14ac:dyDescent="0.25">
      <c r="H633" s="731"/>
    </row>
    <row r="634" spans="8:8" ht="15.75" customHeight="1" x14ac:dyDescent="0.25">
      <c r="H634" s="731"/>
    </row>
    <row r="635" spans="8:8" ht="15.75" customHeight="1" x14ac:dyDescent="0.25">
      <c r="H635" s="731"/>
    </row>
    <row r="636" spans="8:8" ht="15.75" customHeight="1" x14ac:dyDescent="0.25">
      <c r="H636" s="731"/>
    </row>
    <row r="637" spans="8:8" ht="15.75" customHeight="1" x14ac:dyDescent="0.25">
      <c r="H637" s="731"/>
    </row>
    <row r="638" spans="8:8" ht="15.75" customHeight="1" x14ac:dyDescent="0.25">
      <c r="H638" s="731"/>
    </row>
    <row r="639" spans="8:8" ht="15.75" customHeight="1" x14ac:dyDescent="0.25">
      <c r="H639" s="731"/>
    </row>
    <row r="640" spans="8:8" ht="15.75" customHeight="1" x14ac:dyDescent="0.25">
      <c r="H640" s="731"/>
    </row>
    <row r="641" spans="8:8" ht="15.75" customHeight="1" x14ac:dyDescent="0.25">
      <c r="H641" s="731"/>
    </row>
    <row r="642" spans="8:8" ht="15.75" customHeight="1" x14ac:dyDescent="0.25">
      <c r="H642" s="731"/>
    </row>
    <row r="643" spans="8:8" ht="15.75" customHeight="1" x14ac:dyDescent="0.25">
      <c r="H643" s="731"/>
    </row>
    <row r="644" spans="8:8" ht="15.75" customHeight="1" x14ac:dyDescent="0.25">
      <c r="H644" s="731"/>
    </row>
    <row r="645" spans="8:8" ht="15.75" customHeight="1" x14ac:dyDescent="0.25">
      <c r="H645" s="731"/>
    </row>
    <row r="646" spans="8:8" ht="15.75" customHeight="1" x14ac:dyDescent="0.25">
      <c r="H646" s="731"/>
    </row>
    <row r="647" spans="8:8" ht="15.75" customHeight="1" x14ac:dyDescent="0.25">
      <c r="H647" s="731"/>
    </row>
    <row r="648" spans="8:8" ht="15.75" customHeight="1" x14ac:dyDescent="0.25">
      <c r="H648" s="731"/>
    </row>
    <row r="649" spans="8:8" ht="15.75" customHeight="1" x14ac:dyDescent="0.25">
      <c r="H649" s="731"/>
    </row>
    <row r="650" spans="8:8" ht="15.75" customHeight="1" x14ac:dyDescent="0.25">
      <c r="H650" s="731"/>
    </row>
    <row r="651" spans="8:8" ht="15.75" customHeight="1" x14ac:dyDescent="0.25">
      <c r="H651" s="731"/>
    </row>
    <row r="652" spans="8:8" ht="15.75" customHeight="1" x14ac:dyDescent="0.25">
      <c r="H652" s="731"/>
    </row>
    <row r="653" spans="8:8" ht="15.75" customHeight="1" x14ac:dyDescent="0.25">
      <c r="H653" s="731"/>
    </row>
    <row r="654" spans="8:8" ht="15.75" customHeight="1" x14ac:dyDescent="0.25">
      <c r="H654" s="731"/>
    </row>
    <row r="655" spans="8:8" ht="15.75" customHeight="1" x14ac:dyDescent="0.25">
      <c r="H655" s="731"/>
    </row>
    <row r="656" spans="8:8" ht="15.75" customHeight="1" x14ac:dyDescent="0.25">
      <c r="H656" s="731"/>
    </row>
    <row r="657" spans="8:8" ht="15.75" customHeight="1" x14ac:dyDescent="0.25">
      <c r="H657" s="731"/>
    </row>
    <row r="658" spans="8:8" ht="15.75" customHeight="1" x14ac:dyDescent="0.25">
      <c r="H658" s="731"/>
    </row>
    <row r="659" spans="8:8" ht="15.75" customHeight="1" x14ac:dyDescent="0.25">
      <c r="H659" s="731"/>
    </row>
    <row r="660" spans="8:8" ht="15.75" customHeight="1" x14ac:dyDescent="0.25">
      <c r="H660" s="731"/>
    </row>
    <row r="661" spans="8:8" ht="15.75" customHeight="1" x14ac:dyDescent="0.25">
      <c r="H661" s="731"/>
    </row>
    <row r="662" spans="8:8" ht="15.75" customHeight="1" x14ac:dyDescent="0.25">
      <c r="H662" s="731"/>
    </row>
    <row r="663" spans="8:8" ht="15.75" customHeight="1" x14ac:dyDescent="0.25">
      <c r="H663" s="731"/>
    </row>
    <row r="664" spans="8:8" ht="15.75" customHeight="1" x14ac:dyDescent="0.25">
      <c r="H664" s="731"/>
    </row>
    <row r="665" spans="8:8" ht="15.75" customHeight="1" x14ac:dyDescent="0.25">
      <c r="H665" s="731"/>
    </row>
    <row r="666" spans="8:8" ht="15.75" customHeight="1" x14ac:dyDescent="0.25">
      <c r="H666" s="731"/>
    </row>
    <row r="667" spans="8:8" ht="15.75" customHeight="1" x14ac:dyDescent="0.25">
      <c r="H667" s="731"/>
    </row>
    <row r="668" spans="8:8" ht="15.75" customHeight="1" x14ac:dyDescent="0.25">
      <c r="H668" s="731"/>
    </row>
    <row r="669" spans="8:8" ht="15.75" customHeight="1" x14ac:dyDescent="0.25">
      <c r="H669" s="731"/>
    </row>
    <row r="670" spans="8:8" ht="15.75" customHeight="1" x14ac:dyDescent="0.25">
      <c r="H670" s="731"/>
    </row>
    <row r="671" spans="8:8" ht="15.75" customHeight="1" x14ac:dyDescent="0.25">
      <c r="H671" s="731"/>
    </row>
    <row r="672" spans="8:8" ht="15.75" customHeight="1" x14ac:dyDescent="0.25">
      <c r="H672" s="731"/>
    </row>
    <row r="673" spans="8:8" ht="15.75" customHeight="1" x14ac:dyDescent="0.25">
      <c r="H673" s="731"/>
    </row>
    <row r="674" spans="8:8" ht="15.75" customHeight="1" x14ac:dyDescent="0.25">
      <c r="H674" s="731"/>
    </row>
    <row r="675" spans="8:8" ht="15.75" customHeight="1" x14ac:dyDescent="0.25">
      <c r="H675" s="731"/>
    </row>
    <row r="676" spans="8:8" ht="15.75" customHeight="1" x14ac:dyDescent="0.25">
      <c r="H676" s="731"/>
    </row>
    <row r="677" spans="8:8" ht="15.75" customHeight="1" x14ac:dyDescent="0.25">
      <c r="H677" s="731"/>
    </row>
    <row r="678" spans="8:8" ht="15.75" customHeight="1" x14ac:dyDescent="0.25">
      <c r="H678" s="731"/>
    </row>
    <row r="679" spans="8:8" ht="15.75" customHeight="1" x14ac:dyDescent="0.25">
      <c r="H679" s="731"/>
    </row>
    <row r="680" spans="8:8" ht="15.75" customHeight="1" x14ac:dyDescent="0.25">
      <c r="H680" s="731"/>
    </row>
    <row r="681" spans="8:8" ht="15.75" customHeight="1" x14ac:dyDescent="0.25">
      <c r="H681" s="731"/>
    </row>
    <row r="682" spans="8:8" ht="15.75" customHeight="1" x14ac:dyDescent="0.25">
      <c r="H682" s="731"/>
    </row>
    <row r="683" spans="8:8" ht="15.75" customHeight="1" x14ac:dyDescent="0.25">
      <c r="H683" s="731"/>
    </row>
    <row r="684" spans="8:8" ht="15.75" customHeight="1" x14ac:dyDescent="0.25">
      <c r="H684" s="731"/>
    </row>
    <row r="685" spans="8:8" ht="15.75" customHeight="1" x14ac:dyDescent="0.25">
      <c r="H685" s="731"/>
    </row>
    <row r="686" spans="8:8" ht="15.75" customHeight="1" x14ac:dyDescent="0.25">
      <c r="H686" s="731"/>
    </row>
    <row r="687" spans="8:8" ht="15.75" customHeight="1" x14ac:dyDescent="0.25">
      <c r="H687" s="731"/>
    </row>
    <row r="688" spans="8:8" ht="15.75" customHeight="1" x14ac:dyDescent="0.25">
      <c r="H688" s="731"/>
    </row>
    <row r="689" spans="8:8" ht="15.75" customHeight="1" x14ac:dyDescent="0.25">
      <c r="H689" s="731"/>
    </row>
    <row r="690" spans="8:8" ht="15.75" customHeight="1" x14ac:dyDescent="0.25">
      <c r="H690" s="731"/>
    </row>
    <row r="691" spans="8:8" ht="15.75" customHeight="1" x14ac:dyDescent="0.25">
      <c r="H691" s="731"/>
    </row>
    <row r="692" spans="8:8" ht="15.75" customHeight="1" x14ac:dyDescent="0.25">
      <c r="H692" s="731"/>
    </row>
    <row r="693" spans="8:8" ht="15.75" customHeight="1" x14ac:dyDescent="0.25">
      <c r="H693" s="731"/>
    </row>
    <row r="694" spans="8:8" ht="15.75" customHeight="1" x14ac:dyDescent="0.25">
      <c r="H694" s="731"/>
    </row>
    <row r="695" spans="8:8" ht="15.75" customHeight="1" x14ac:dyDescent="0.25">
      <c r="H695" s="731"/>
    </row>
    <row r="696" spans="8:8" ht="15.75" customHeight="1" x14ac:dyDescent="0.25">
      <c r="H696" s="731"/>
    </row>
    <row r="697" spans="8:8" ht="15.75" customHeight="1" x14ac:dyDescent="0.25">
      <c r="H697" s="731"/>
    </row>
    <row r="698" spans="8:8" ht="15.75" customHeight="1" x14ac:dyDescent="0.25">
      <c r="H698" s="731"/>
    </row>
    <row r="699" spans="8:8" ht="15.75" customHeight="1" x14ac:dyDescent="0.25">
      <c r="H699" s="731"/>
    </row>
    <row r="700" spans="8:8" ht="15.75" customHeight="1" x14ac:dyDescent="0.25">
      <c r="H700" s="731"/>
    </row>
    <row r="701" spans="8:8" ht="15.75" customHeight="1" x14ac:dyDescent="0.25">
      <c r="H701" s="731"/>
    </row>
    <row r="702" spans="8:8" ht="15.75" customHeight="1" x14ac:dyDescent="0.25">
      <c r="H702" s="731"/>
    </row>
    <row r="703" spans="8:8" ht="15.75" customHeight="1" x14ac:dyDescent="0.25">
      <c r="H703" s="731"/>
    </row>
    <row r="704" spans="8:8" ht="15.75" customHeight="1" x14ac:dyDescent="0.25">
      <c r="H704" s="731"/>
    </row>
    <row r="705" spans="8:8" ht="15.75" customHeight="1" x14ac:dyDescent="0.25">
      <c r="H705" s="731"/>
    </row>
    <row r="706" spans="8:8" ht="15.75" customHeight="1" x14ac:dyDescent="0.25">
      <c r="H706" s="731"/>
    </row>
    <row r="707" spans="8:8" ht="15.75" customHeight="1" x14ac:dyDescent="0.25">
      <c r="H707" s="731"/>
    </row>
    <row r="708" spans="8:8" ht="15.75" customHeight="1" x14ac:dyDescent="0.25">
      <c r="H708" s="731"/>
    </row>
    <row r="709" spans="8:8" ht="15.75" customHeight="1" x14ac:dyDescent="0.25">
      <c r="H709" s="731"/>
    </row>
    <row r="710" spans="8:8" ht="15.75" customHeight="1" x14ac:dyDescent="0.25">
      <c r="H710" s="731"/>
    </row>
    <row r="711" spans="8:8" ht="15.75" customHeight="1" x14ac:dyDescent="0.25">
      <c r="H711" s="731"/>
    </row>
    <row r="712" spans="8:8" ht="15.75" customHeight="1" x14ac:dyDescent="0.25">
      <c r="H712" s="731"/>
    </row>
    <row r="713" spans="8:8" ht="15.75" customHeight="1" x14ac:dyDescent="0.25">
      <c r="H713" s="731"/>
    </row>
    <row r="714" spans="8:8" ht="15.75" customHeight="1" x14ac:dyDescent="0.25">
      <c r="H714" s="731"/>
    </row>
    <row r="715" spans="8:8" ht="15.75" customHeight="1" x14ac:dyDescent="0.25">
      <c r="H715" s="731"/>
    </row>
    <row r="716" spans="8:8" ht="15.75" customHeight="1" x14ac:dyDescent="0.25">
      <c r="H716" s="731"/>
    </row>
    <row r="717" spans="8:8" ht="15.75" customHeight="1" x14ac:dyDescent="0.25">
      <c r="H717" s="731"/>
    </row>
    <row r="718" spans="8:8" ht="15.75" customHeight="1" x14ac:dyDescent="0.25">
      <c r="H718" s="731"/>
    </row>
    <row r="719" spans="8:8" ht="15.75" customHeight="1" x14ac:dyDescent="0.25">
      <c r="H719" s="731"/>
    </row>
    <row r="720" spans="8:8" ht="15.75" customHeight="1" x14ac:dyDescent="0.25">
      <c r="H720" s="731"/>
    </row>
    <row r="721" spans="8:8" ht="15.75" customHeight="1" x14ac:dyDescent="0.25">
      <c r="H721" s="731"/>
    </row>
    <row r="722" spans="8:8" ht="15.75" customHeight="1" x14ac:dyDescent="0.25">
      <c r="H722" s="731"/>
    </row>
    <row r="723" spans="8:8" ht="15.75" customHeight="1" x14ac:dyDescent="0.25">
      <c r="H723" s="731"/>
    </row>
    <row r="724" spans="8:8" ht="15.75" customHeight="1" x14ac:dyDescent="0.25">
      <c r="H724" s="731"/>
    </row>
    <row r="725" spans="8:8" ht="15.75" customHeight="1" x14ac:dyDescent="0.25">
      <c r="H725" s="731"/>
    </row>
    <row r="726" spans="8:8" ht="15.75" customHeight="1" x14ac:dyDescent="0.25">
      <c r="H726" s="731"/>
    </row>
    <row r="727" spans="8:8" ht="15.75" customHeight="1" x14ac:dyDescent="0.25">
      <c r="H727" s="731"/>
    </row>
    <row r="728" spans="8:8" ht="15.75" customHeight="1" x14ac:dyDescent="0.25">
      <c r="H728" s="731"/>
    </row>
    <row r="729" spans="8:8" ht="15.75" customHeight="1" x14ac:dyDescent="0.25">
      <c r="H729" s="731"/>
    </row>
    <row r="730" spans="8:8" ht="15.75" customHeight="1" x14ac:dyDescent="0.25">
      <c r="H730" s="731"/>
    </row>
    <row r="731" spans="8:8" ht="15.75" customHeight="1" x14ac:dyDescent="0.25">
      <c r="H731" s="731"/>
    </row>
    <row r="732" spans="8:8" ht="15.75" customHeight="1" x14ac:dyDescent="0.25">
      <c r="H732" s="731"/>
    </row>
    <row r="733" spans="8:8" ht="15.75" customHeight="1" x14ac:dyDescent="0.25">
      <c r="H733" s="731"/>
    </row>
    <row r="734" spans="8:8" ht="15.75" customHeight="1" x14ac:dyDescent="0.25">
      <c r="H734" s="731"/>
    </row>
    <row r="735" spans="8:8" ht="15.75" customHeight="1" x14ac:dyDescent="0.25">
      <c r="H735" s="731"/>
    </row>
    <row r="736" spans="8:8" ht="15.75" customHeight="1" x14ac:dyDescent="0.25">
      <c r="H736" s="731"/>
    </row>
    <row r="737" spans="8:8" ht="15.75" customHeight="1" x14ac:dyDescent="0.25">
      <c r="H737" s="731"/>
    </row>
    <row r="738" spans="8:8" ht="15.75" customHeight="1" x14ac:dyDescent="0.25">
      <c r="H738" s="731"/>
    </row>
    <row r="739" spans="8:8" ht="15.75" customHeight="1" x14ac:dyDescent="0.25">
      <c r="H739" s="731"/>
    </row>
    <row r="740" spans="8:8" ht="15.75" customHeight="1" x14ac:dyDescent="0.25">
      <c r="H740" s="731"/>
    </row>
    <row r="741" spans="8:8" ht="15.75" customHeight="1" x14ac:dyDescent="0.25">
      <c r="H741" s="731"/>
    </row>
    <row r="742" spans="8:8" ht="15.75" customHeight="1" x14ac:dyDescent="0.25">
      <c r="H742" s="731"/>
    </row>
    <row r="743" spans="8:8" ht="15.75" customHeight="1" x14ac:dyDescent="0.25">
      <c r="H743" s="731"/>
    </row>
    <row r="744" spans="8:8" ht="15.75" customHeight="1" x14ac:dyDescent="0.25">
      <c r="H744" s="731"/>
    </row>
    <row r="745" spans="8:8" ht="15.75" customHeight="1" x14ac:dyDescent="0.25">
      <c r="H745" s="731"/>
    </row>
    <row r="746" spans="8:8" ht="15.75" customHeight="1" x14ac:dyDescent="0.25">
      <c r="H746" s="731"/>
    </row>
    <row r="747" spans="8:8" ht="15.75" customHeight="1" x14ac:dyDescent="0.25">
      <c r="H747" s="731"/>
    </row>
    <row r="748" spans="8:8" ht="15.75" customHeight="1" x14ac:dyDescent="0.25">
      <c r="H748" s="731"/>
    </row>
    <row r="749" spans="8:8" ht="15.75" customHeight="1" x14ac:dyDescent="0.25">
      <c r="H749" s="731"/>
    </row>
    <row r="750" spans="8:8" ht="15.75" customHeight="1" x14ac:dyDescent="0.25">
      <c r="H750" s="731"/>
    </row>
    <row r="751" spans="8:8" ht="15.75" customHeight="1" x14ac:dyDescent="0.25">
      <c r="H751" s="731"/>
    </row>
    <row r="752" spans="8:8" ht="15.75" customHeight="1" x14ac:dyDescent="0.25">
      <c r="H752" s="731"/>
    </row>
    <row r="753" spans="8:8" ht="15.75" customHeight="1" x14ac:dyDescent="0.25">
      <c r="H753" s="731"/>
    </row>
    <row r="754" spans="8:8" ht="15.75" customHeight="1" x14ac:dyDescent="0.25">
      <c r="H754" s="731"/>
    </row>
    <row r="755" spans="8:8" ht="15.75" customHeight="1" x14ac:dyDescent="0.25">
      <c r="H755" s="731"/>
    </row>
    <row r="756" spans="8:8" ht="15.75" customHeight="1" x14ac:dyDescent="0.25">
      <c r="H756" s="731"/>
    </row>
    <row r="757" spans="8:8" ht="15.75" customHeight="1" x14ac:dyDescent="0.25">
      <c r="H757" s="731"/>
    </row>
    <row r="758" spans="8:8" ht="15.75" customHeight="1" x14ac:dyDescent="0.25">
      <c r="H758" s="731"/>
    </row>
    <row r="759" spans="8:8" ht="15.75" customHeight="1" x14ac:dyDescent="0.25">
      <c r="H759" s="731"/>
    </row>
    <row r="760" spans="8:8" ht="15.75" customHeight="1" x14ac:dyDescent="0.25">
      <c r="H760" s="731"/>
    </row>
    <row r="761" spans="8:8" ht="15.75" customHeight="1" x14ac:dyDescent="0.25">
      <c r="H761" s="731"/>
    </row>
    <row r="762" spans="8:8" ht="15.75" customHeight="1" x14ac:dyDescent="0.25">
      <c r="H762" s="731"/>
    </row>
    <row r="763" spans="8:8" ht="15.75" customHeight="1" x14ac:dyDescent="0.25">
      <c r="H763" s="731"/>
    </row>
    <row r="764" spans="8:8" ht="15.75" customHeight="1" x14ac:dyDescent="0.25">
      <c r="H764" s="731"/>
    </row>
    <row r="765" spans="8:8" ht="15.75" customHeight="1" x14ac:dyDescent="0.25">
      <c r="H765" s="731"/>
    </row>
    <row r="766" spans="8:8" ht="15.75" customHeight="1" x14ac:dyDescent="0.25">
      <c r="H766" s="731"/>
    </row>
    <row r="767" spans="8:8" ht="15.75" customHeight="1" x14ac:dyDescent="0.25">
      <c r="H767" s="731"/>
    </row>
    <row r="768" spans="8:8" ht="15.75" customHeight="1" x14ac:dyDescent="0.25">
      <c r="H768" s="731"/>
    </row>
    <row r="769" spans="8:8" ht="15.75" customHeight="1" x14ac:dyDescent="0.25">
      <c r="H769" s="731"/>
    </row>
    <row r="770" spans="8:8" ht="15.75" customHeight="1" x14ac:dyDescent="0.25">
      <c r="H770" s="731"/>
    </row>
    <row r="771" spans="8:8" ht="15.75" customHeight="1" x14ac:dyDescent="0.25">
      <c r="H771" s="731"/>
    </row>
    <row r="772" spans="8:8" ht="15.75" customHeight="1" x14ac:dyDescent="0.25">
      <c r="H772" s="731"/>
    </row>
    <row r="773" spans="8:8" ht="15.75" customHeight="1" x14ac:dyDescent="0.25">
      <c r="H773" s="731"/>
    </row>
    <row r="774" spans="8:8" ht="15.75" customHeight="1" x14ac:dyDescent="0.25">
      <c r="H774" s="731"/>
    </row>
    <row r="775" spans="8:8" ht="15.75" customHeight="1" x14ac:dyDescent="0.25">
      <c r="H775" s="731"/>
    </row>
    <row r="776" spans="8:8" ht="15.75" customHeight="1" x14ac:dyDescent="0.25">
      <c r="H776" s="731"/>
    </row>
    <row r="777" spans="8:8" ht="15.75" customHeight="1" x14ac:dyDescent="0.25">
      <c r="H777" s="731"/>
    </row>
    <row r="778" spans="8:8" ht="15.75" customHeight="1" x14ac:dyDescent="0.25">
      <c r="H778" s="731"/>
    </row>
    <row r="779" spans="8:8" ht="15.75" customHeight="1" x14ac:dyDescent="0.25">
      <c r="H779" s="731"/>
    </row>
    <row r="780" spans="8:8" ht="15.75" customHeight="1" x14ac:dyDescent="0.25">
      <c r="H780" s="731"/>
    </row>
    <row r="781" spans="8:8" ht="15.75" customHeight="1" x14ac:dyDescent="0.25">
      <c r="H781" s="731"/>
    </row>
    <row r="782" spans="8:8" ht="15.75" customHeight="1" x14ac:dyDescent="0.25">
      <c r="H782" s="731"/>
    </row>
    <row r="783" spans="8:8" ht="15.75" customHeight="1" x14ac:dyDescent="0.25">
      <c r="H783" s="731"/>
    </row>
    <row r="784" spans="8:8" ht="15.75" customHeight="1" x14ac:dyDescent="0.25">
      <c r="H784" s="731"/>
    </row>
    <row r="785" spans="8:8" ht="15.75" customHeight="1" x14ac:dyDescent="0.25">
      <c r="H785" s="731"/>
    </row>
    <row r="786" spans="8:8" ht="15.75" customHeight="1" x14ac:dyDescent="0.25">
      <c r="H786" s="731"/>
    </row>
    <row r="787" spans="8:8" ht="15.75" customHeight="1" x14ac:dyDescent="0.25">
      <c r="H787" s="731"/>
    </row>
    <row r="788" spans="8:8" ht="15.75" customHeight="1" x14ac:dyDescent="0.25">
      <c r="H788" s="731"/>
    </row>
    <row r="789" spans="8:8" ht="15.75" customHeight="1" x14ac:dyDescent="0.25">
      <c r="H789" s="731"/>
    </row>
    <row r="790" spans="8:8" ht="15.75" customHeight="1" x14ac:dyDescent="0.25">
      <c r="H790" s="731"/>
    </row>
    <row r="791" spans="8:8" ht="15.75" customHeight="1" x14ac:dyDescent="0.25">
      <c r="H791" s="731"/>
    </row>
    <row r="792" spans="8:8" ht="15.75" customHeight="1" x14ac:dyDescent="0.25">
      <c r="H792" s="731"/>
    </row>
    <row r="793" spans="8:8" ht="15.75" customHeight="1" x14ac:dyDescent="0.25">
      <c r="H793" s="731"/>
    </row>
    <row r="794" spans="8:8" ht="15.75" customHeight="1" x14ac:dyDescent="0.25">
      <c r="H794" s="731"/>
    </row>
    <row r="795" spans="8:8" ht="15.75" customHeight="1" x14ac:dyDescent="0.25">
      <c r="H795" s="731"/>
    </row>
    <row r="796" spans="8:8" ht="15.75" customHeight="1" x14ac:dyDescent="0.25">
      <c r="H796" s="731"/>
    </row>
    <row r="797" spans="8:8" ht="15.75" customHeight="1" x14ac:dyDescent="0.25">
      <c r="H797" s="731"/>
    </row>
    <row r="798" spans="8:8" ht="15.75" customHeight="1" x14ac:dyDescent="0.25">
      <c r="H798" s="731"/>
    </row>
    <row r="799" spans="8:8" ht="15.75" customHeight="1" x14ac:dyDescent="0.25">
      <c r="H799" s="731"/>
    </row>
    <row r="800" spans="8:8" ht="15.75" customHeight="1" x14ac:dyDescent="0.25">
      <c r="H800" s="731"/>
    </row>
    <row r="801" spans="8:8" ht="15.75" customHeight="1" x14ac:dyDescent="0.25">
      <c r="H801" s="731"/>
    </row>
    <row r="802" spans="8:8" ht="15.75" customHeight="1" x14ac:dyDescent="0.25">
      <c r="H802" s="731"/>
    </row>
    <row r="803" spans="8:8" ht="15.75" customHeight="1" x14ac:dyDescent="0.25">
      <c r="H803" s="731"/>
    </row>
    <row r="804" spans="8:8" ht="15.75" customHeight="1" x14ac:dyDescent="0.25">
      <c r="H804" s="731"/>
    </row>
    <row r="805" spans="8:8" ht="15.75" customHeight="1" x14ac:dyDescent="0.25">
      <c r="H805" s="731"/>
    </row>
    <row r="806" spans="8:8" ht="15.75" customHeight="1" x14ac:dyDescent="0.25">
      <c r="H806" s="731"/>
    </row>
    <row r="807" spans="8:8" ht="15.75" customHeight="1" x14ac:dyDescent="0.25">
      <c r="H807" s="731"/>
    </row>
    <row r="808" spans="8:8" ht="15.75" customHeight="1" x14ac:dyDescent="0.25">
      <c r="H808" s="731"/>
    </row>
    <row r="809" spans="8:8" ht="15.75" customHeight="1" x14ac:dyDescent="0.25">
      <c r="H809" s="731"/>
    </row>
    <row r="810" spans="8:8" ht="15.75" customHeight="1" x14ac:dyDescent="0.25">
      <c r="H810" s="731"/>
    </row>
    <row r="811" spans="8:8" ht="15.75" customHeight="1" x14ac:dyDescent="0.25">
      <c r="H811" s="731"/>
    </row>
    <row r="812" spans="8:8" ht="15.75" customHeight="1" x14ac:dyDescent="0.25">
      <c r="H812" s="731"/>
    </row>
    <row r="813" spans="8:8" ht="15.75" customHeight="1" x14ac:dyDescent="0.25">
      <c r="H813" s="731"/>
    </row>
    <row r="814" spans="8:8" ht="15.75" customHeight="1" x14ac:dyDescent="0.25">
      <c r="H814" s="731"/>
    </row>
    <row r="815" spans="8:8" ht="15.75" customHeight="1" x14ac:dyDescent="0.25">
      <c r="H815" s="731"/>
    </row>
    <row r="816" spans="8:8" ht="15.75" customHeight="1" x14ac:dyDescent="0.25">
      <c r="H816" s="731"/>
    </row>
    <row r="817" spans="8:8" ht="15.75" customHeight="1" x14ac:dyDescent="0.25">
      <c r="H817" s="731"/>
    </row>
    <row r="818" spans="8:8" ht="15.75" customHeight="1" x14ac:dyDescent="0.25">
      <c r="H818" s="731"/>
    </row>
    <row r="819" spans="8:8" ht="15.75" customHeight="1" x14ac:dyDescent="0.25">
      <c r="H819" s="731"/>
    </row>
    <row r="820" spans="8:8" ht="15.75" customHeight="1" x14ac:dyDescent="0.25">
      <c r="H820" s="731"/>
    </row>
    <row r="821" spans="8:8" ht="15.75" customHeight="1" x14ac:dyDescent="0.25">
      <c r="H821" s="731"/>
    </row>
    <row r="822" spans="8:8" ht="15.75" customHeight="1" x14ac:dyDescent="0.25">
      <c r="H822" s="731"/>
    </row>
    <row r="823" spans="8:8" ht="15.75" customHeight="1" x14ac:dyDescent="0.25">
      <c r="H823" s="731"/>
    </row>
    <row r="824" spans="8:8" ht="15.75" customHeight="1" x14ac:dyDescent="0.25">
      <c r="H824" s="731"/>
    </row>
    <row r="825" spans="8:8" ht="15.75" customHeight="1" x14ac:dyDescent="0.25">
      <c r="H825" s="731"/>
    </row>
    <row r="826" spans="8:8" ht="15.75" customHeight="1" x14ac:dyDescent="0.25">
      <c r="H826" s="731"/>
    </row>
    <row r="827" spans="8:8" ht="15.75" customHeight="1" x14ac:dyDescent="0.25">
      <c r="H827" s="731"/>
    </row>
    <row r="828" spans="8:8" ht="15.75" customHeight="1" x14ac:dyDescent="0.25">
      <c r="H828" s="731"/>
    </row>
    <row r="829" spans="8:8" ht="15.75" customHeight="1" x14ac:dyDescent="0.25">
      <c r="H829" s="731"/>
    </row>
    <row r="830" spans="8:8" ht="15.75" customHeight="1" x14ac:dyDescent="0.25">
      <c r="H830" s="731"/>
    </row>
    <row r="831" spans="8:8" ht="15.75" customHeight="1" x14ac:dyDescent="0.25">
      <c r="H831" s="731"/>
    </row>
    <row r="832" spans="8:8" ht="15.75" customHeight="1" x14ac:dyDescent="0.25">
      <c r="H832" s="731"/>
    </row>
    <row r="833" spans="8:8" ht="15.75" customHeight="1" x14ac:dyDescent="0.25">
      <c r="H833" s="731"/>
    </row>
    <row r="834" spans="8:8" ht="15.75" customHeight="1" x14ac:dyDescent="0.25">
      <c r="H834" s="731"/>
    </row>
    <row r="835" spans="8:8" ht="15.75" customHeight="1" x14ac:dyDescent="0.25">
      <c r="H835" s="731"/>
    </row>
    <row r="836" spans="8:8" ht="15.75" customHeight="1" x14ac:dyDescent="0.25">
      <c r="H836" s="731"/>
    </row>
    <row r="837" spans="8:8" ht="15.75" customHeight="1" x14ac:dyDescent="0.25">
      <c r="H837" s="731"/>
    </row>
    <row r="838" spans="8:8" ht="15.75" customHeight="1" x14ac:dyDescent="0.25">
      <c r="H838" s="731"/>
    </row>
    <row r="839" spans="8:8" ht="15.75" customHeight="1" x14ac:dyDescent="0.25">
      <c r="H839" s="731"/>
    </row>
    <row r="840" spans="8:8" ht="15.75" customHeight="1" x14ac:dyDescent="0.25">
      <c r="H840" s="731"/>
    </row>
    <row r="841" spans="8:8" ht="15.75" customHeight="1" x14ac:dyDescent="0.25">
      <c r="H841" s="731"/>
    </row>
    <row r="842" spans="8:8" ht="15.75" customHeight="1" x14ac:dyDescent="0.25">
      <c r="H842" s="731"/>
    </row>
    <row r="843" spans="8:8" ht="15.75" customHeight="1" x14ac:dyDescent="0.25">
      <c r="H843" s="731"/>
    </row>
    <row r="844" spans="8:8" ht="15.75" customHeight="1" x14ac:dyDescent="0.25">
      <c r="H844" s="731"/>
    </row>
    <row r="845" spans="8:8" ht="15.75" customHeight="1" x14ac:dyDescent="0.25">
      <c r="H845" s="731"/>
    </row>
    <row r="846" spans="8:8" ht="15.75" customHeight="1" x14ac:dyDescent="0.25">
      <c r="H846" s="731"/>
    </row>
    <row r="847" spans="8:8" ht="15.75" customHeight="1" x14ac:dyDescent="0.25">
      <c r="H847" s="731"/>
    </row>
    <row r="848" spans="8:8" ht="15.75" customHeight="1" x14ac:dyDescent="0.25">
      <c r="H848" s="731"/>
    </row>
    <row r="849" spans="8:8" ht="15.75" customHeight="1" x14ac:dyDescent="0.25">
      <c r="H849" s="731"/>
    </row>
    <row r="850" spans="8:8" ht="15.75" customHeight="1" x14ac:dyDescent="0.25">
      <c r="H850" s="731"/>
    </row>
    <row r="851" spans="8:8" ht="15.75" customHeight="1" x14ac:dyDescent="0.25">
      <c r="H851" s="731"/>
    </row>
    <row r="852" spans="8:8" ht="15.75" customHeight="1" x14ac:dyDescent="0.25">
      <c r="H852" s="731"/>
    </row>
    <row r="853" spans="8:8" ht="15.75" customHeight="1" x14ac:dyDescent="0.25">
      <c r="H853" s="731"/>
    </row>
    <row r="854" spans="8:8" ht="15.75" customHeight="1" x14ac:dyDescent="0.25">
      <c r="H854" s="731"/>
    </row>
    <row r="855" spans="8:8" ht="15.75" customHeight="1" x14ac:dyDescent="0.25">
      <c r="H855" s="731"/>
    </row>
    <row r="856" spans="8:8" ht="15.75" customHeight="1" x14ac:dyDescent="0.25">
      <c r="H856" s="731"/>
    </row>
    <row r="857" spans="8:8" ht="15.75" customHeight="1" x14ac:dyDescent="0.25">
      <c r="H857" s="731"/>
    </row>
    <row r="858" spans="8:8" ht="15.75" customHeight="1" x14ac:dyDescent="0.25">
      <c r="H858" s="731"/>
    </row>
    <row r="859" spans="8:8" ht="15.75" customHeight="1" x14ac:dyDescent="0.25">
      <c r="H859" s="731"/>
    </row>
    <row r="860" spans="8:8" ht="15.75" customHeight="1" x14ac:dyDescent="0.25">
      <c r="H860" s="731"/>
    </row>
    <row r="861" spans="8:8" ht="15.75" customHeight="1" x14ac:dyDescent="0.25">
      <c r="H861" s="731"/>
    </row>
    <row r="862" spans="8:8" ht="15.75" customHeight="1" x14ac:dyDescent="0.25">
      <c r="H862" s="731"/>
    </row>
    <row r="863" spans="8:8" ht="15.75" customHeight="1" x14ac:dyDescent="0.25">
      <c r="H863" s="731"/>
    </row>
    <row r="864" spans="8:8" ht="15.75" customHeight="1" x14ac:dyDescent="0.25">
      <c r="H864" s="731"/>
    </row>
    <row r="865" spans="8:8" ht="15.75" customHeight="1" x14ac:dyDescent="0.25">
      <c r="H865" s="731"/>
    </row>
    <row r="866" spans="8:8" ht="15.75" customHeight="1" x14ac:dyDescent="0.25">
      <c r="H866" s="731"/>
    </row>
    <row r="867" spans="8:8" ht="15.75" customHeight="1" x14ac:dyDescent="0.25">
      <c r="H867" s="731"/>
    </row>
    <row r="868" spans="8:8" ht="15.75" customHeight="1" x14ac:dyDescent="0.25">
      <c r="H868" s="731"/>
    </row>
    <row r="869" spans="8:8" ht="15.75" customHeight="1" x14ac:dyDescent="0.25">
      <c r="H869" s="731"/>
    </row>
    <row r="870" spans="8:8" ht="15.75" customHeight="1" x14ac:dyDescent="0.25">
      <c r="H870" s="731"/>
    </row>
    <row r="871" spans="8:8" ht="15.75" customHeight="1" x14ac:dyDescent="0.25">
      <c r="H871" s="731"/>
    </row>
    <row r="872" spans="8:8" ht="15.75" customHeight="1" x14ac:dyDescent="0.25">
      <c r="H872" s="731"/>
    </row>
    <row r="873" spans="8:8" ht="15.75" customHeight="1" x14ac:dyDescent="0.25">
      <c r="H873" s="731"/>
    </row>
    <row r="874" spans="8:8" ht="15.75" customHeight="1" x14ac:dyDescent="0.25">
      <c r="H874" s="731"/>
    </row>
    <row r="875" spans="8:8" ht="15.75" customHeight="1" x14ac:dyDescent="0.25">
      <c r="H875" s="731"/>
    </row>
    <row r="876" spans="8:8" ht="15.75" customHeight="1" x14ac:dyDescent="0.25">
      <c r="H876" s="731"/>
    </row>
    <row r="877" spans="8:8" ht="15.75" customHeight="1" x14ac:dyDescent="0.25">
      <c r="H877" s="731"/>
    </row>
    <row r="878" spans="8:8" ht="15.75" customHeight="1" x14ac:dyDescent="0.25">
      <c r="H878" s="731"/>
    </row>
    <row r="879" spans="8:8" ht="15.75" customHeight="1" x14ac:dyDescent="0.25">
      <c r="H879" s="731"/>
    </row>
    <row r="880" spans="8:8" ht="15.75" customHeight="1" x14ac:dyDescent="0.25">
      <c r="H880" s="731"/>
    </row>
    <row r="881" spans="8:8" ht="15.75" customHeight="1" x14ac:dyDescent="0.25">
      <c r="H881" s="731"/>
    </row>
    <row r="882" spans="8:8" ht="15.75" customHeight="1" x14ac:dyDescent="0.25">
      <c r="H882" s="731"/>
    </row>
    <row r="883" spans="8:8" ht="15.75" customHeight="1" x14ac:dyDescent="0.25">
      <c r="H883" s="731"/>
    </row>
    <row r="884" spans="8:8" ht="15.75" customHeight="1" x14ac:dyDescent="0.25">
      <c r="H884" s="731"/>
    </row>
    <row r="885" spans="8:8" ht="15.75" customHeight="1" x14ac:dyDescent="0.25">
      <c r="H885" s="731"/>
    </row>
    <row r="886" spans="8:8" ht="15.75" customHeight="1" x14ac:dyDescent="0.25">
      <c r="H886" s="731"/>
    </row>
    <row r="887" spans="8:8" ht="15.75" customHeight="1" x14ac:dyDescent="0.25">
      <c r="H887" s="731"/>
    </row>
    <row r="888" spans="8:8" ht="15.75" customHeight="1" x14ac:dyDescent="0.25">
      <c r="H888" s="731"/>
    </row>
    <row r="889" spans="8:8" ht="15.75" customHeight="1" x14ac:dyDescent="0.25">
      <c r="H889" s="731"/>
    </row>
    <row r="890" spans="8:8" ht="15.75" customHeight="1" x14ac:dyDescent="0.25">
      <c r="H890" s="731"/>
    </row>
    <row r="891" spans="8:8" ht="15.75" customHeight="1" x14ac:dyDescent="0.25">
      <c r="H891" s="731"/>
    </row>
    <row r="892" spans="8:8" ht="15.75" customHeight="1" x14ac:dyDescent="0.25">
      <c r="H892" s="731"/>
    </row>
    <row r="893" spans="8:8" ht="15.75" customHeight="1" x14ac:dyDescent="0.25">
      <c r="H893" s="731"/>
    </row>
    <row r="894" spans="8:8" ht="15.75" customHeight="1" x14ac:dyDescent="0.25">
      <c r="H894" s="731"/>
    </row>
    <row r="895" spans="8:8" ht="15.75" customHeight="1" x14ac:dyDescent="0.25">
      <c r="H895" s="731"/>
    </row>
    <row r="896" spans="8:8" ht="15.75" customHeight="1" x14ac:dyDescent="0.25">
      <c r="H896" s="731"/>
    </row>
    <row r="897" spans="8:8" ht="15.75" customHeight="1" x14ac:dyDescent="0.25">
      <c r="H897" s="731"/>
    </row>
    <row r="898" spans="8:8" ht="15.75" customHeight="1" x14ac:dyDescent="0.25">
      <c r="H898" s="731"/>
    </row>
    <row r="899" spans="8:8" ht="15.75" customHeight="1" x14ac:dyDescent="0.25">
      <c r="H899" s="731"/>
    </row>
    <row r="900" spans="8:8" ht="15.75" customHeight="1" x14ac:dyDescent="0.25">
      <c r="H900" s="731"/>
    </row>
    <row r="901" spans="8:8" ht="15.75" customHeight="1" x14ac:dyDescent="0.25">
      <c r="H901" s="731"/>
    </row>
    <row r="902" spans="8:8" ht="15.75" customHeight="1" x14ac:dyDescent="0.25">
      <c r="H902" s="731"/>
    </row>
    <row r="903" spans="8:8" ht="15.75" customHeight="1" x14ac:dyDescent="0.25">
      <c r="H903" s="731"/>
    </row>
    <row r="904" spans="8:8" ht="15.75" customHeight="1" x14ac:dyDescent="0.25">
      <c r="H904" s="731"/>
    </row>
    <row r="905" spans="8:8" ht="15.75" customHeight="1" x14ac:dyDescent="0.25">
      <c r="H905" s="731"/>
    </row>
    <row r="906" spans="8:8" ht="15.75" customHeight="1" x14ac:dyDescent="0.25">
      <c r="H906" s="731"/>
    </row>
    <row r="907" spans="8:8" ht="15.75" customHeight="1" x14ac:dyDescent="0.25">
      <c r="H907" s="731"/>
    </row>
    <row r="908" spans="8:8" ht="15.75" customHeight="1" x14ac:dyDescent="0.25">
      <c r="H908" s="731"/>
    </row>
    <row r="909" spans="8:8" ht="15.75" customHeight="1" x14ac:dyDescent="0.25">
      <c r="H909" s="731"/>
    </row>
    <row r="910" spans="8:8" ht="15.75" customHeight="1" x14ac:dyDescent="0.25">
      <c r="H910" s="731"/>
    </row>
    <row r="911" spans="8:8" ht="15.75" customHeight="1" x14ac:dyDescent="0.25">
      <c r="H911" s="731"/>
    </row>
    <row r="912" spans="8:8" ht="15.75" customHeight="1" x14ac:dyDescent="0.25">
      <c r="H912" s="731"/>
    </row>
    <row r="913" spans="8:8" ht="15.75" customHeight="1" x14ac:dyDescent="0.25">
      <c r="H913" s="731"/>
    </row>
    <row r="914" spans="8:8" ht="15.75" customHeight="1" x14ac:dyDescent="0.25">
      <c r="H914" s="731"/>
    </row>
    <row r="915" spans="8:8" ht="15.75" customHeight="1" x14ac:dyDescent="0.25">
      <c r="H915" s="731"/>
    </row>
    <row r="916" spans="8:8" ht="15.75" customHeight="1" x14ac:dyDescent="0.25">
      <c r="H916" s="731"/>
    </row>
    <row r="917" spans="8:8" ht="15.75" customHeight="1" x14ac:dyDescent="0.25">
      <c r="H917" s="731"/>
    </row>
    <row r="918" spans="8:8" ht="15.75" customHeight="1" x14ac:dyDescent="0.25">
      <c r="H918" s="731"/>
    </row>
    <row r="919" spans="8:8" ht="15.75" customHeight="1" x14ac:dyDescent="0.25">
      <c r="H919" s="731"/>
    </row>
    <row r="920" spans="8:8" ht="15.75" customHeight="1" x14ac:dyDescent="0.25">
      <c r="H920" s="731"/>
    </row>
    <row r="921" spans="8:8" ht="15.75" customHeight="1" x14ac:dyDescent="0.25">
      <c r="H921" s="731"/>
    </row>
    <row r="922" spans="8:8" ht="15.75" customHeight="1" x14ac:dyDescent="0.25">
      <c r="H922" s="731"/>
    </row>
    <row r="923" spans="8:8" ht="15.75" customHeight="1" x14ac:dyDescent="0.25">
      <c r="H923" s="731"/>
    </row>
    <row r="924" spans="8:8" ht="15.75" customHeight="1" x14ac:dyDescent="0.25">
      <c r="H924" s="731"/>
    </row>
    <row r="925" spans="8:8" ht="15.75" customHeight="1" x14ac:dyDescent="0.25">
      <c r="H925" s="731"/>
    </row>
    <row r="926" spans="8:8" ht="15.75" customHeight="1" x14ac:dyDescent="0.25">
      <c r="H926" s="731"/>
    </row>
    <row r="927" spans="8:8" ht="15.75" customHeight="1" x14ac:dyDescent="0.25">
      <c r="H927" s="731"/>
    </row>
    <row r="928" spans="8:8" ht="15.75" customHeight="1" x14ac:dyDescent="0.25">
      <c r="H928" s="731"/>
    </row>
    <row r="929" spans="8:8" ht="15.75" customHeight="1" x14ac:dyDescent="0.25">
      <c r="H929" s="731"/>
    </row>
    <row r="930" spans="8:8" ht="15.75" customHeight="1" x14ac:dyDescent="0.25">
      <c r="H930" s="731"/>
    </row>
    <row r="931" spans="8:8" ht="15.75" customHeight="1" x14ac:dyDescent="0.25">
      <c r="H931" s="731"/>
    </row>
    <row r="932" spans="8:8" ht="15.75" customHeight="1" x14ac:dyDescent="0.25">
      <c r="H932" s="731"/>
    </row>
    <row r="933" spans="8:8" ht="15.75" customHeight="1" x14ac:dyDescent="0.25">
      <c r="H933" s="731"/>
    </row>
    <row r="934" spans="8:8" ht="15.75" customHeight="1" x14ac:dyDescent="0.25">
      <c r="H934" s="731"/>
    </row>
    <row r="935" spans="8:8" ht="15.75" customHeight="1" x14ac:dyDescent="0.25">
      <c r="H935" s="731"/>
    </row>
    <row r="936" spans="8:8" ht="15.75" customHeight="1" x14ac:dyDescent="0.25">
      <c r="H936" s="731"/>
    </row>
    <row r="937" spans="8:8" ht="15.75" customHeight="1" x14ac:dyDescent="0.25">
      <c r="H937" s="731"/>
    </row>
    <row r="938" spans="8:8" ht="15.75" customHeight="1" x14ac:dyDescent="0.25">
      <c r="H938" s="731"/>
    </row>
    <row r="939" spans="8:8" ht="15.75" customHeight="1" x14ac:dyDescent="0.25">
      <c r="H939" s="731"/>
    </row>
    <row r="940" spans="8:8" ht="15.75" customHeight="1" x14ac:dyDescent="0.25">
      <c r="H940" s="731"/>
    </row>
    <row r="941" spans="8:8" ht="15.75" customHeight="1" x14ac:dyDescent="0.25">
      <c r="H941" s="731"/>
    </row>
    <row r="942" spans="8:8" ht="15.75" customHeight="1" x14ac:dyDescent="0.25">
      <c r="H942" s="731"/>
    </row>
    <row r="943" spans="8:8" ht="15.75" customHeight="1" x14ac:dyDescent="0.25">
      <c r="H943" s="731"/>
    </row>
    <row r="944" spans="8:8" ht="15.75" customHeight="1" x14ac:dyDescent="0.25">
      <c r="H944" s="731"/>
    </row>
    <row r="945" spans="8:8" ht="15.75" customHeight="1" x14ac:dyDescent="0.25">
      <c r="H945" s="731"/>
    </row>
    <row r="946" spans="8:8" ht="15.75" customHeight="1" x14ac:dyDescent="0.25">
      <c r="H946" s="731"/>
    </row>
    <row r="947" spans="8:8" ht="15.75" customHeight="1" x14ac:dyDescent="0.25">
      <c r="H947" s="731"/>
    </row>
    <row r="948" spans="8:8" ht="15.75" customHeight="1" x14ac:dyDescent="0.25">
      <c r="H948" s="731"/>
    </row>
    <row r="949" spans="8:8" ht="15.75" customHeight="1" x14ac:dyDescent="0.25">
      <c r="H949" s="731"/>
    </row>
    <row r="950" spans="8:8" ht="15.75" customHeight="1" x14ac:dyDescent="0.25">
      <c r="H950" s="731"/>
    </row>
    <row r="951" spans="8:8" ht="15.75" customHeight="1" x14ac:dyDescent="0.25">
      <c r="H951" s="731"/>
    </row>
    <row r="952" spans="8:8" ht="15.75" customHeight="1" x14ac:dyDescent="0.25">
      <c r="H952" s="731"/>
    </row>
    <row r="953" spans="8:8" ht="15.75" customHeight="1" x14ac:dyDescent="0.25">
      <c r="H953" s="731"/>
    </row>
    <row r="954" spans="8:8" ht="15.75" customHeight="1" x14ac:dyDescent="0.25">
      <c r="H954" s="731"/>
    </row>
    <row r="955" spans="8:8" ht="15.75" customHeight="1" x14ac:dyDescent="0.25">
      <c r="H955" s="731"/>
    </row>
    <row r="956" spans="8:8" ht="15.75" customHeight="1" x14ac:dyDescent="0.25">
      <c r="H956" s="731"/>
    </row>
    <row r="957" spans="8:8" ht="15.75" customHeight="1" x14ac:dyDescent="0.25">
      <c r="H957" s="731"/>
    </row>
    <row r="958" spans="8:8" ht="15.75" customHeight="1" x14ac:dyDescent="0.25">
      <c r="H958" s="731"/>
    </row>
    <row r="959" spans="8:8" ht="15.75" customHeight="1" x14ac:dyDescent="0.25">
      <c r="H959" s="731"/>
    </row>
    <row r="960" spans="8:8" ht="15.75" customHeight="1" x14ac:dyDescent="0.25">
      <c r="H960" s="731"/>
    </row>
    <row r="961" spans="8:8" ht="15.75" customHeight="1" x14ac:dyDescent="0.25">
      <c r="H961" s="731"/>
    </row>
    <row r="962" spans="8:8" ht="15.75" customHeight="1" x14ac:dyDescent="0.25">
      <c r="H962" s="731"/>
    </row>
    <row r="963" spans="8:8" ht="15.75" customHeight="1" x14ac:dyDescent="0.25">
      <c r="H963" s="731"/>
    </row>
    <row r="964" spans="8:8" ht="15.75" customHeight="1" x14ac:dyDescent="0.25">
      <c r="H964" s="731"/>
    </row>
    <row r="965" spans="8:8" ht="15.75" customHeight="1" x14ac:dyDescent="0.25">
      <c r="H965" s="731"/>
    </row>
    <row r="966" spans="8:8" ht="15.75" customHeight="1" x14ac:dyDescent="0.25">
      <c r="H966" s="731"/>
    </row>
    <row r="967" spans="8:8" ht="15.75" customHeight="1" x14ac:dyDescent="0.25">
      <c r="H967" s="731"/>
    </row>
    <row r="968" spans="8:8" ht="15.75" customHeight="1" x14ac:dyDescent="0.25">
      <c r="H968" s="731"/>
    </row>
    <row r="969" spans="8:8" ht="15.75" customHeight="1" x14ac:dyDescent="0.25">
      <c r="H969" s="731"/>
    </row>
    <row r="970" spans="8:8" ht="15.75" customHeight="1" x14ac:dyDescent="0.25">
      <c r="H970" s="731"/>
    </row>
    <row r="971" spans="8:8" ht="15.75" customHeight="1" x14ac:dyDescent="0.25">
      <c r="H971" s="731"/>
    </row>
    <row r="972" spans="8:8" ht="15.75" customHeight="1" x14ac:dyDescent="0.25">
      <c r="H972" s="731"/>
    </row>
    <row r="973" spans="8:8" ht="15.75" customHeight="1" x14ac:dyDescent="0.25">
      <c r="H973" s="731"/>
    </row>
    <row r="974" spans="8:8" ht="15.75" customHeight="1" x14ac:dyDescent="0.25">
      <c r="H974" s="731"/>
    </row>
    <row r="975" spans="8:8" ht="15.75" customHeight="1" x14ac:dyDescent="0.25">
      <c r="H975" s="731"/>
    </row>
    <row r="976" spans="8:8" ht="15.75" customHeight="1" x14ac:dyDescent="0.25">
      <c r="H976" s="731"/>
    </row>
    <row r="977" spans="8:8" ht="15.75" customHeight="1" x14ac:dyDescent="0.25">
      <c r="H977" s="731"/>
    </row>
    <row r="978" spans="8:8" ht="15.75" customHeight="1" x14ac:dyDescent="0.25">
      <c r="H978" s="731"/>
    </row>
    <row r="979" spans="8:8" ht="15.75" customHeight="1" x14ac:dyDescent="0.25">
      <c r="H979" s="731"/>
    </row>
    <row r="980" spans="8:8" ht="15.75" customHeight="1" x14ac:dyDescent="0.25">
      <c r="H980" s="731"/>
    </row>
    <row r="981" spans="8:8" ht="15.75" customHeight="1" x14ac:dyDescent="0.25">
      <c r="H981" s="731"/>
    </row>
    <row r="982" spans="8:8" ht="15.75" customHeight="1" x14ac:dyDescent="0.25">
      <c r="H982" s="731"/>
    </row>
    <row r="983" spans="8:8" ht="15.75" customHeight="1" x14ac:dyDescent="0.25">
      <c r="H983" s="731"/>
    </row>
    <row r="984" spans="8:8" ht="15.75" customHeight="1" x14ac:dyDescent="0.25">
      <c r="H984" s="731"/>
    </row>
    <row r="985" spans="8:8" ht="15.75" customHeight="1" x14ac:dyDescent="0.25">
      <c r="H985" s="731"/>
    </row>
    <row r="986" spans="8:8" ht="15.75" customHeight="1" x14ac:dyDescent="0.25">
      <c r="H986" s="731"/>
    </row>
    <row r="987" spans="8:8" ht="15.75" customHeight="1" x14ac:dyDescent="0.25">
      <c r="H987" s="731"/>
    </row>
  </sheetData>
  <mergeCells count="4">
    <mergeCell ref="A3:H3"/>
    <mergeCell ref="A5:H5"/>
    <mergeCell ref="B6:F6"/>
    <mergeCell ref="B26:D26"/>
  </mergeCells>
  <printOptions horizontalCentered="1"/>
  <pageMargins left="0" right="0.15" top="0.74803149606299202" bottom="0.74803149606299202" header="0" footer="0"/>
  <pageSetup scale="7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65BE-EE26-4E36-84FB-FA541079DCFD}">
  <sheetPr>
    <tabColor rgb="FFFF0000"/>
  </sheetPr>
  <dimension ref="A1:J997"/>
  <sheetViews>
    <sheetView showGridLines="0" topLeftCell="B1" zoomScale="106" zoomScaleNormal="106" workbookViewId="0">
      <selection activeCell="B5" sqref="B5:F5"/>
    </sheetView>
  </sheetViews>
  <sheetFormatPr baseColWidth="10" defaultColWidth="12.5703125" defaultRowHeight="15" customHeight="1" x14ac:dyDescent="0.25"/>
  <cols>
    <col min="1" max="1" width="3.42578125" style="754" hidden="1" customWidth="1"/>
    <col min="2" max="2" width="14.140625" style="754" customWidth="1"/>
    <col min="3" max="3" width="14.5703125" style="754" customWidth="1"/>
    <col min="4" max="4" width="13.140625" style="754" customWidth="1"/>
    <col min="5" max="5" width="17.28515625" style="754" customWidth="1"/>
    <col min="6" max="6" width="18.42578125" style="754" customWidth="1"/>
    <col min="7" max="7" width="71.42578125" style="754" customWidth="1"/>
    <col min="8" max="8" width="12.7109375" style="754" customWidth="1"/>
    <col min="9" max="9" width="11.85546875" style="754" customWidth="1"/>
    <col min="10" max="25" width="10.5703125" style="754" customWidth="1"/>
    <col min="26" max="16384" width="12.5703125" style="754"/>
  </cols>
  <sheetData>
    <row r="1" spans="2:10" x14ac:dyDescent="0.25">
      <c r="H1" s="755"/>
    </row>
    <row r="2" spans="2:10" ht="41.25" customHeight="1" x14ac:dyDescent="0.5">
      <c r="B2" s="904" t="s">
        <v>935</v>
      </c>
      <c r="C2" s="905"/>
      <c r="D2" s="905"/>
      <c r="E2" s="905"/>
      <c r="F2" s="905"/>
      <c r="G2" s="905"/>
      <c r="H2" s="905"/>
    </row>
    <row r="3" spans="2:10" ht="33.75" x14ac:dyDescent="0.5">
      <c r="B3" s="756"/>
      <c r="C3" s="757"/>
      <c r="D3" s="757"/>
      <c r="E3" s="757"/>
      <c r="F3" s="757"/>
      <c r="G3" s="757"/>
      <c r="H3" s="757"/>
    </row>
    <row r="4" spans="2:10" ht="15.75" x14ac:dyDescent="0.25">
      <c r="B4" s="906" t="s">
        <v>972</v>
      </c>
      <c r="C4" s="906"/>
      <c r="D4" s="906"/>
      <c r="E4" s="906"/>
      <c r="F4" s="906"/>
      <c r="G4" s="906"/>
      <c r="H4" s="906"/>
    </row>
    <row r="5" spans="2:10" ht="15.75" thickBot="1" x14ac:dyDescent="0.3">
      <c r="B5" s="907"/>
      <c r="C5" s="908"/>
      <c r="D5" s="908"/>
      <c r="E5" s="908"/>
      <c r="F5" s="908"/>
      <c r="H5" s="755"/>
    </row>
    <row r="6" spans="2:10" ht="29.25" customHeight="1" thickBot="1" x14ac:dyDescent="0.3">
      <c r="B6" s="733" t="s">
        <v>127</v>
      </c>
      <c r="C6" s="733" t="s">
        <v>937</v>
      </c>
      <c r="D6" s="733" t="s">
        <v>938</v>
      </c>
      <c r="E6" s="733" t="s">
        <v>939</v>
      </c>
      <c r="F6" s="733" t="s">
        <v>940</v>
      </c>
      <c r="G6" s="733" t="s">
        <v>941</v>
      </c>
      <c r="H6" s="733" t="s">
        <v>942</v>
      </c>
    </row>
    <row r="7" spans="2:10" ht="21.75" customHeight="1" x14ac:dyDescent="0.25">
      <c r="B7" s="780">
        <v>46143</v>
      </c>
      <c r="C7" s="781">
        <v>6025</v>
      </c>
      <c r="D7" s="782" t="s">
        <v>66</v>
      </c>
      <c r="E7" s="783">
        <v>101503939</v>
      </c>
      <c r="F7" s="783" t="s">
        <v>953</v>
      </c>
      <c r="G7" s="784" t="s">
        <v>954</v>
      </c>
      <c r="H7" s="785">
        <v>2000</v>
      </c>
      <c r="J7" s="762"/>
    </row>
    <row r="8" spans="2:10" ht="31.5" customHeight="1" x14ac:dyDescent="0.25">
      <c r="B8" s="764">
        <v>46147</v>
      </c>
      <c r="C8" s="759">
        <v>6026</v>
      </c>
      <c r="D8" s="758" t="s">
        <v>203</v>
      </c>
      <c r="E8" s="760" t="s">
        <v>290</v>
      </c>
      <c r="F8" s="760" t="s">
        <v>290</v>
      </c>
      <c r="G8" s="761" t="s">
        <v>955</v>
      </c>
      <c r="H8" s="763">
        <v>539.91</v>
      </c>
    </row>
    <row r="9" spans="2:10" ht="35.25" customHeight="1" x14ac:dyDescent="0.25">
      <c r="B9" s="764">
        <v>46149</v>
      </c>
      <c r="C9" s="759">
        <v>6027</v>
      </c>
      <c r="D9" s="758" t="s">
        <v>530</v>
      </c>
      <c r="E9" s="760">
        <v>130168301</v>
      </c>
      <c r="F9" s="760" t="s">
        <v>705</v>
      </c>
      <c r="G9" s="761" t="s">
        <v>956</v>
      </c>
      <c r="H9" s="786">
        <v>1875.02</v>
      </c>
    </row>
    <row r="10" spans="2:10" ht="23.1" customHeight="1" x14ac:dyDescent="0.25">
      <c r="B10" s="764">
        <v>46153</v>
      </c>
      <c r="C10" s="759">
        <v>6028</v>
      </c>
      <c r="D10" s="758" t="s">
        <v>530</v>
      </c>
      <c r="E10" s="760">
        <v>130168301</v>
      </c>
      <c r="F10" s="760" t="s">
        <v>957</v>
      </c>
      <c r="G10" s="761" t="s">
        <v>956</v>
      </c>
      <c r="H10" s="786">
        <v>2738.78</v>
      </c>
    </row>
    <row r="11" spans="2:10" ht="34.5" customHeight="1" x14ac:dyDescent="0.25">
      <c r="B11" s="764">
        <v>46156</v>
      </c>
      <c r="C11" s="759">
        <v>6029</v>
      </c>
      <c r="D11" s="758" t="s">
        <v>32</v>
      </c>
      <c r="E11" s="760">
        <v>131952526</v>
      </c>
      <c r="F11" s="760" t="s">
        <v>958</v>
      </c>
      <c r="G11" s="761" t="s">
        <v>959</v>
      </c>
      <c r="H11" s="786">
        <v>600</v>
      </c>
    </row>
    <row r="12" spans="2:10" ht="33" customHeight="1" x14ac:dyDescent="0.25">
      <c r="B12" s="764">
        <v>46160</v>
      </c>
      <c r="C12" s="759">
        <v>6030</v>
      </c>
      <c r="D12" s="758" t="s">
        <v>530</v>
      </c>
      <c r="E12" s="760">
        <v>130168301</v>
      </c>
      <c r="F12" s="760" t="s">
        <v>708</v>
      </c>
      <c r="G12" s="761" t="s">
        <v>956</v>
      </c>
      <c r="H12" s="786">
        <v>2785.98</v>
      </c>
    </row>
    <row r="13" spans="2:10" ht="30.75" customHeight="1" x14ac:dyDescent="0.25">
      <c r="B13" s="764">
        <v>46162</v>
      </c>
      <c r="C13" s="759">
        <v>6031</v>
      </c>
      <c r="D13" s="758" t="s">
        <v>66</v>
      </c>
      <c r="E13" s="760" t="s">
        <v>290</v>
      </c>
      <c r="F13" s="760" t="s">
        <v>290</v>
      </c>
      <c r="G13" s="761" t="s">
        <v>960</v>
      </c>
      <c r="H13" s="786">
        <v>360</v>
      </c>
    </row>
    <row r="14" spans="2:10" ht="21.75" customHeight="1" x14ac:dyDescent="0.25">
      <c r="B14" s="764">
        <v>46163</v>
      </c>
      <c r="C14" s="759">
        <v>6032</v>
      </c>
      <c r="D14" s="758" t="s">
        <v>66</v>
      </c>
      <c r="E14" s="760" t="s">
        <v>290</v>
      </c>
      <c r="F14" s="760" t="s">
        <v>290</v>
      </c>
      <c r="G14" s="761" t="s">
        <v>961</v>
      </c>
      <c r="H14" s="786">
        <v>460</v>
      </c>
    </row>
    <row r="15" spans="2:10" ht="30" customHeight="1" x14ac:dyDescent="0.25">
      <c r="B15" s="764">
        <v>46164</v>
      </c>
      <c r="C15" s="759">
        <v>6033</v>
      </c>
      <c r="D15" s="758" t="s">
        <v>66</v>
      </c>
      <c r="E15" s="760">
        <v>101503939</v>
      </c>
      <c r="F15" s="760" t="s">
        <v>962</v>
      </c>
      <c r="G15" s="761" t="s">
        <v>954</v>
      </c>
      <c r="H15" s="786">
        <v>2000</v>
      </c>
    </row>
    <row r="16" spans="2:10" ht="29.25" customHeight="1" x14ac:dyDescent="0.25">
      <c r="B16" s="764">
        <v>46167</v>
      </c>
      <c r="C16" s="759">
        <v>6034</v>
      </c>
      <c r="D16" s="758" t="s">
        <v>69</v>
      </c>
      <c r="E16" s="760">
        <v>122021523</v>
      </c>
      <c r="F16" s="760" t="s">
        <v>963</v>
      </c>
      <c r="G16" s="761" t="s">
        <v>964</v>
      </c>
      <c r="H16" s="786">
        <v>1770</v>
      </c>
    </row>
    <row r="17" spans="2:8" ht="37.5" customHeight="1" thickBot="1" x14ac:dyDescent="0.3">
      <c r="B17" s="787">
        <v>46171</v>
      </c>
      <c r="C17" s="788">
        <v>6035</v>
      </c>
      <c r="D17" s="789" t="s">
        <v>287</v>
      </c>
      <c r="E17" s="790">
        <v>130060835</v>
      </c>
      <c r="F17" s="790" t="s">
        <v>965</v>
      </c>
      <c r="G17" s="791" t="s">
        <v>966</v>
      </c>
      <c r="H17" s="792">
        <v>1798</v>
      </c>
    </row>
    <row r="18" spans="2:8" ht="26.25" customHeight="1" thickBot="1" x14ac:dyDescent="0.3">
      <c r="B18" s="769"/>
      <c r="C18" s="770" t="s">
        <v>950</v>
      </c>
      <c r="D18" s="770"/>
      <c r="E18" s="770"/>
      <c r="F18" s="770"/>
      <c r="G18" s="770"/>
      <c r="H18" s="771">
        <f>SUM(H7:H17)</f>
        <v>16927.690000000002</v>
      </c>
    </row>
    <row r="19" spans="2:8" ht="23.1" customHeight="1" thickBot="1" x14ac:dyDescent="0.3">
      <c r="H19" s="755"/>
    </row>
    <row r="20" spans="2:8" ht="24.75" customHeight="1" thickBot="1" x14ac:dyDescent="0.3">
      <c r="F20" s="733" t="s">
        <v>938</v>
      </c>
      <c r="G20" s="733" t="s">
        <v>941</v>
      </c>
      <c r="H20" s="733" t="s">
        <v>942</v>
      </c>
    </row>
    <row r="21" spans="2:8" ht="21" customHeight="1" x14ac:dyDescent="0.25">
      <c r="F21" s="766" t="str">
        <f>+D8</f>
        <v>2241-01</v>
      </c>
      <c r="G21" s="774" t="s">
        <v>145</v>
      </c>
      <c r="H21" s="776">
        <f>+H8</f>
        <v>539.91</v>
      </c>
    </row>
    <row r="22" spans="2:8" ht="21" customHeight="1" x14ac:dyDescent="0.25">
      <c r="F22" s="767" t="str">
        <f>+D17</f>
        <v>2262-01</v>
      </c>
      <c r="G22" s="777" t="s">
        <v>237</v>
      </c>
      <c r="H22" s="778">
        <f>+H17</f>
        <v>1798</v>
      </c>
    </row>
    <row r="23" spans="2:8" ht="21" customHeight="1" x14ac:dyDescent="0.25">
      <c r="F23" s="767" t="str">
        <f>+D11</f>
        <v>2272-06</v>
      </c>
      <c r="G23" s="772" t="s">
        <v>952</v>
      </c>
      <c r="H23" s="778">
        <f>+H11</f>
        <v>600</v>
      </c>
    </row>
    <row r="24" spans="2:8" ht="21" customHeight="1" x14ac:dyDescent="0.25">
      <c r="F24" s="767" t="str">
        <f>+D9</f>
        <v>2285-02</v>
      </c>
      <c r="G24" s="772" t="s">
        <v>120</v>
      </c>
      <c r="H24" s="778">
        <f>+H9+H10+H12</f>
        <v>7399.7800000000007</v>
      </c>
    </row>
    <row r="25" spans="2:8" ht="23.1" customHeight="1" x14ac:dyDescent="0.25">
      <c r="F25" s="767" t="str">
        <f>+D15</f>
        <v>2311-01</v>
      </c>
      <c r="G25" s="773" t="s">
        <v>25</v>
      </c>
      <c r="H25" s="778">
        <f>+H7+H13+H14+H15</f>
        <v>4820</v>
      </c>
    </row>
    <row r="26" spans="2:8" ht="23.1" customHeight="1" thickBot="1" x14ac:dyDescent="0.3">
      <c r="F26" s="768" t="str">
        <f>+D16</f>
        <v>2392-01</v>
      </c>
      <c r="G26" s="775" t="s">
        <v>971</v>
      </c>
      <c r="H26" s="779">
        <f>+H16</f>
        <v>1770</v>
      </c>
    </row>
    <row r="27" spans="2:8" ht="23.1" customHeight="1" thickBot="1" x14ac:dyDescent="0.3">
      <c r="F27" s="769"/>
      <c r="G27" s="770" t="s">
        <v>950</v>
      </c>
      <c r="H27" s="771">
        <f>SUM(H21:H26)</f>
        <v>16927.690000000002</v>
      </c>
    </row>
    <row r="28" spans="2:8" ht="23.1" customHeight="1" x14ac:dyDescent="0.25">
      <c r="H28" s="755"/>
    </row>
    <row r="29" spans="2:8" ht="29.25" customHeight="1" x14ac:dyDescent="0.25">
      <c r="H29" s="755"/>
    </row>
    <row r="30" spans="2:8" ht="18" customHeight="1" x14ac:dyDescent="0.25">
      <c r="B30" s="765" t="s">
        <v>967</v>
      </c>
      <c r="H30" s="755"/>
    </row>
    <row r="31" spans="2:8" ht="20.25" customHeight="1" x14ac:dyDescent="0.25">
      <c r="B31" s="765" t="s">
        <v>968</v>
      </c>
      <c r="H31" s="755"/>
    </row>
    <row r="32" spans="2:8" ht="21.75" customHeight="1" x14ac:dyDescent="0.25">
      <c r="H32" s="755"/>
    </row>
    <row r="33" spans="2:9" ht="15.75" customHeight="1" x14ac:dyDescent="0.25">
      <c r="B33" s="765" t="s">
        <v>969</v>
      </c>
      <c r="H33" s="755"/>
    </row>
    <row r="34" spans="2:9" ht="45.75" customHeight="1" x14ac:dyDescent="0.25">
      <c r="H34" s="755"/>
    </row>
    <row r="35" spans="2:9" ht="20.25" customHeight="1" x14ac:dyDescent="0.25">
      <c r="H35" s="755"/>
    </row>
    <row r="36" spans="2:9" ht="18.75" customHeight="1" x14ac:dyDescent="0.25">
      <c r="H36" s="755"/>
    </row>
    <row r="37" spans="2:9" ht="31.5" customHeight="1" x14ac:dyDescent="0.25">
      <c r="H37" s="755"/>
    </row>
    <row r="38" spans="2:9" ht="18.75" customHeight="1" x14ac:dyDescent="0.25">
      <c r="H38" s="755"/>
    </row>
    <row r="39" spans="2:9" ht="19.5" customHeight="1" x14ac:dyDescent="0.25">
      <c r="H39" s="755"/>
    </row>
    <row r="40" spans="2:9" ht="48" customHeight="1" x14ac:dyDescent="0.25">
      <c r="H40" s="755"/>
      <c r="I40" s="754" t="s">
        <v>970</v>
      </c>
    </row>
    <row r="41" spans="2:9" ht="20.25" customHeight="1" x14ac:dyDescent="0.25">
      <c r="H41" s="755"/>
    </row>
    <row r="42" spans="2:9" ht="30.75" customHeight="1" x14ac:dyDescent="0.25">
      <c r="H42" s="755"/>
    </row>
    <row r="43" spans="2:9" ht="46.5" customHeight="1" x14ac:dyDescent="0.25">
      <c r="H43" s="755"/>
    </row>
    <row r="44" spans="2:9" ht="22.5" customHeight="1" x14ac:dyDescent="0.25">
      <c r="H44" s="755"/>
    </row>
    <row r="45" spans="2:9" ht="20.25" customHeight="1" x14ac:dyDescent="0.25">
      <c r="H45" s="755"/>
    </row>
    <row r="46" spans="2:9" ht="33" customHeight="1" x14ac:dyDescent="0.25">
      <c r="H46" s="755"/>
    </row>
    <row r="47" spans="2:9" ht="30" customHeight="1" x14ac:dyDescent="0.25">
      <c r="H47" s="755"/>
    </row>
    <row r="48" spans="2:9" ht="15.75" customHeight="1" x14ac:dyDescent="0.25">
      <c r="H48" s="755"/>
    </row>
    <row r="49" spans="8:8" ht="66" customHeight="1" x14ac:dyDescent="0.25">
      <c r="H49" s="755"/>
    </row>
    <row r="50" spans="8:8" ht="65.25" customHeight="1" x14ac:dyDescent="0.25">
      <c r="H50" s="755"/>
    </row>
    <row r="51" spans="8:8" ht="35.25" customHeight="1" x14ac:dyDescent="0.25">
      <c r="H51" s="755"/>
    </row>
    <row r="52" spans="8:8" ht="15.75" customHeight="1" x14ac:dyDescent="0.25">
      <c r="H52" s="755"/>
    </row>
    <row r="53" spans="8:8" ht="15.75" customHeight="1" x14ac:dyDescent="0.25">
      <c r="H53" s="755"/>
    </row>
    <row r="54" spans="8:8" ht="15.75" customHeight="1" x14ac:dyDescent="0.25">
      <c r="H54" s="755"/>
    </row>
    <row r="55" spans="8:8" ht="15.75" customHeight="1" x14ac:dyDescent="0.25">
      <c r="H55" s="755"/>
    </row>
    <row r="56" spans="8:8" ht="15.75" customHeight="1" x14ac:dyDescent="0.25">
      <c r="H56" s="755"/>
    </row>
    <row r="57" spans="8:8" ht="15.75" customHeight="1" x14ac:dyDescent="0.25">
      <c r="H57" s="755"/>
    </row>
    <row r="58" spans="8:8" ht="15.75" customHeight="1" x14ac:dyDescent="0.25">
      <c r="H58" s="755"/>
    </row>
    <row r="59" spans="8:8" ht="15.75" customHeight="1" x14ac:dyDescent="0.25">
      <c r="H59" s="755"/>
    </row>
    <row r="60" spans="8:8" ht="15.75" customHeight="1" x14ac:dyDescent="0.25">
      <c r="H60" s="755"/>
    </row>
    <row r="61" spans="8:8" ht="15.75" customHeight="1" x14ac:dyDescent="0.25">
      <c r="H61" s="755"/>
    </row>
    <row r="62" spans="8:8" ht="15.75" customHeight="1" x14ac:dyDescent="0.25">
      <c r="H62" s="755"/>
    </row>
    <row r="63" spans="8:8" ht="15.75" customHeight="1" x14ac:dyDescent="0.25">
      <c r="H63" s="755"/>
    </row>
    <row r="64" spans="8:8" ht="15.75" customHeight="1" x14ac:dyDescent="0.25">
      <c r="H64" s="755"/>
    </row>
    <row r="65" spans="8:8" ht="15.75" customHeight="1" x14ac:dyDescent="0.25">
      <c r="H65" s="755"/>
    </row>
    <row r="66" spans="8:8" ht="15.75" customHeight="1" x14ac:dyDescent="0.25">
      <c r="H66" s="755"/>
    </row>
    <row r="67" spans="8:8" ht="15.75" customHeight="1" x14ac:dyDescent="0.25">
      <c r="H67" s="755"/>
    </row>
    <row r="68" spans="8:8" ht="15.75" customHeight="1" x14ac:dyDescent="0.25">
      <c r="H68" s="755"/>
    </row>
    <row r="69" spans="8:8" ht="15.75" customHeight="1" x14ac:dyDescent="0.25">
      <c r="H69" s="755"/>
    </row>
    <row r="70" spans="8:8" ht="15.75" customHeight="1" x14ac:dyDescent="0.25">
      <c r="H70" s="755"/>
    </row>
    <row r="71" spans="8:8" ht="15.75" customHeight="1" x14ac:dyDescent="0.25">
      <c r="H71" s="755"/>
    </row>
    <row r="72" spans="8:8" ht="15.75" customHeight="1" x14ac:dyDescent="0.25">
      <c r="H72" s="755"/>
    </row>
    <row r="73" spans="8:8" ht="15.75" customHeight="1" x14ac:dyDescent="0.25">
      <c r="H73" s="755"/>
    </row>
    <row r="74" spans="8:8" ht="15.75" customHeight="1" x14ac:dyDescent="0.25">
      <c r="H74" s="755"/>
    </row>
    <row r="75" spans="8:8" ht="15.75" customHeight="1" x14ac:dyDescent="0.25">
      <c r="H75" s="755"/>
    </row>
    <row r="76" spans="8:8" ht="15.75" customHeight="1" x14ac:dyDescent="0.25">
      <c r="H76" s="755"/>
    </row>
    <row r="77" spans="8:8" ht="15.75" customHeight="1" x14ac:dyDescent="0.25">
      <c r="H77" s="755"/>
    </row>
    <row r="78" spans="8:8" ht="15.75" customHeight="1" x14ac:dyDescent="0.25">
      <c r="H78" s="755"/>
    </row>
    <row r="79" spans="8:8" ht="15.75" customHeight="1" x14ac:dyDescent="0.25">
      <c r="H79" s="755"/>
    </row>
    <row r="80" spans="8:8" ht="15.75" customHeight="1" x14ac:dyDescent="0.25">
      <c r="H80" s="755"/>
    </row>
    <row r="81" spans="8:8" ht="15.75" customHeight="1" x14ac:dyDescent="0.25">
      <c r="H81" s="755"/>
    </row>
    <row r="82" spans="8:8" ht="15.75" customHeight="1" x14ac:dyDescent="0.25">
      <c r="H82" s="755"/>
    </row>
    <row r="83" spans="8:8" ht="15.75" customHeight="1" x14ac:dyDescent="0.25">
      <c r="H83" s="755"/>
    </row>
    <row r="84" spans="8:8" ht="15.75" customHeight="1" x14ac:dyDescent="0.25">
      <c r="H84" s="755"/>
    </row>
    <row r="85" spans="8:8" ht="15.75" customHeight="1" x14ac:dyDescent="0.25">
      <c r="H85" s="755"/>
    </row>
    <row r="86" spans="8:8" ht="15.75" customHeight="1" x14ac:dyDescent="0.25">
      <c r="H86" s="755"/>
    </row>
    <row r="87" spans="8:8" ht="15.75" customHeight="1" x14ac:dyDescent="0.25">
      <c r="H87" s="755"/>
    </row>
    <row r="88" spans="8:8" ht="15.75" customHeight="1" x14ac:dyDescent="0.25">
      <c r="H88" s="755"/>
    </row>
    <row r="89" spans="8:8" ht="15.75" customHeight="1" x14ac:dyDescent="0.25">
      <c r="H89" s="755"/>
    </row>
    <row r="90" spans="8:8" ht="15.75" customHeight="1" x14ac:dyDescent="0.25">
      <c r="H90" s="755"/>
    </row>
    <row r="91" spans="8:8" ht="15.75" customHeight="1" x14ac:dyDescent="0.25">
      <c r="H91" s="755"/>
    </row>
    <row r="92" spans="8:8" ht="15.75" customHeight="1" x14ac:dyDescent="0.25">
      <c r="H92" s="755"/>
    </row>
    <row r="93" spans="8:8" ht="15.75" customHeight="1" x14ac:dyDescent="0.25">
      <c r="H93" s="755"/>
    </row>
    <row r="94" spans="8:8" ht="15.75" customHeight="1" x14ac:dyDescent="0.25">
      <c r="H94" s="755"/>
    </row>
    <row r="95" spans="8:8" ht="15.75" customHeight="1" x14ac:dyDescent="0.25">
      <c r="H95" s="755"/>
    </row>
    <row r="96" spans="8:8" ht="15.75" customHeight="1" x14ac:dyDescent="0.25">
      <c r="H96" s="755"/>
    </row>
    <row r="97" spans="8:8" ht="15.75" customHeight="1" x14ac:dyDescent="0.25">
      <c r="H97" s="755"/>
    </row>
    <row r="98" spans="8:8" ht="15.75" customHeight="1" x14ac:dyDescent="0.25">
      <c r="H98" s="755"/>
    </row>
    <row r="99" spans="8:8" ht="15.75" customHeight="1" x14ac:dyDescent="0.25">
      <c r="H99" s="755"/>
    </row>
    <row r="100" spans="8:8" ht="15.75" customHeight="1" x14ac:dyDescent="0.25">
      <c r="H100" s="755"/>
    </row>
    <row r="101" spans="8:8" ht="15.75" customHeight="1" x14ac:dyDescent="0.25">
      <c r="H101" s="755"/>
    </row>
    <row r="102" spans="8:8" ht="15.75" customHeight="1" x14ac:dyDescent="0.25">
      <c r="H102" s="755"/>
    </row>
    <row r="103" spans="8:8" ht="15.75" customHeight="1" x14ac:dyDescent="0.25">
      <c r="H103" s="755"/>
    </row>
    <row r="104" spans="8:8" ht="15.75" customHeight="1" x14ac:dyDescent="0.25">
      <c r="H104" s="755"/>
    </row>
    <row r="105" spans="8:8" ht="15.75" customHeight="1" x14ac:dyDescent="0.25">
      <c r="H105" s="755"/>
    </row>
    <row r="106" spans="8:8" ht="15.75" customHeight="1" x14ac:dyDescent="0.25">
      <c r="H106" s="755"/>
    </row>
    <row r="107" spans="8:8" ht="15.75" customHeight="1" x14ac:dyDescent="0.25">
      <c r="H107" s="755"/>
    </row>
    <row r="108" spans="8:8" ht="15.75" customHeight="1" x14ac:dyDescent="0.25">
      <c r="H108" s="755"/>
    </row>
    <row r="109" spans="8:8" ht="15.75" customHeight="1" x14ac:dyDescent="0.25">
      <c r="H109" s="755"/>
    </row>
    <row r="110" spans="8:8" ht="15.75" customHeight="1" x14ac:dyDescent="0.25">
      <c r="H110" s="755"/>
    </row>
    <row r="111" spans="8:8" ht="15.75" customHeight="1" x14ac:dyDescent="0.25">
      <c r="H111" s="755"/>
    </row>
    <row r="112" spans="8:8" ht="15.75" customHeight="1" x14ac:dyDescent="0.25">
      <c r="H112" s="755"/>
    </row>
    <row r="113" spans="8:8" ht="15.75" customHeight="1" x14ac:dyDescent="0.25">
      <c r="H113" s="755"/>
    </row>
    <row r="114" spans="8:8" ht="15.75" customHeight="1" x14ac:dyDescent="0.25">
      <c r="H114" s="755"/>
    </row>
    <row r="115" spans="8:8" ht="15.75" customHeight="1" x14ac:dyDescent="0.25">
      <c r="H115" s="755"/>
    </row>
    <row r="116" spans="8:8" ht="15.75" customHeight="1" x14ac:dyDescent="0.25">
      <c r="H116" s="755"/>
    </row>
    <row r="117" spans="8:8" ht="15.75" customHeight="1" x14ac:dyDescent="0.25">
      <c r="H117" s="755"/>
    </row>
    <row r="118" spans="8:8" ht="15.75" customHeight="1" x14ac:dyDescent="0.25">
      <c r="H118" s="755"/>
    </row>
    <row r="119" spans="8:8" ht="15.75" customHeight="1" x14ac:dyDescent="0.25">
      <c r="H119" s="755"/>
    </row>
    <row r="120" spans="8:8" ht="15.75" customHeight="1" x14ac:dyDescent="0.25">
      <c r="H120" s="755"/>
    </row>
    <row r="121" spans="8:8" ht="15.75" customHeight="1" x14ac:dyDescent="0.25">
      <c r="H121" s="755"/>
    </row>
    <row r="122" spans="8:8" ht="15.75" customHeight="1" x14ac:dyDescent="0.25">
      <c r="H122" s="755"/>
    </row>
    <row r="123" spans="8:8" ht="15.75" customHeight="1" x14ac:dyDescent="0.25">
      <c r="H123" s="755"/>
    </row>
    <row r="124" spans="8:8" ht="15.75" customHeight="1" x14ac:dyDescent="0.25">
      <c r="H124" s="755"/>
    </row>
    <row r="125" spans="8:8" ht="15.75" customHeight="1" x14ac:dyDescent="0.25">
      <c r="H125" s="755"/>
    </row>
    <row r="126" spans="8:8" ht="15.75" customHeight="1" x14ac:dyDescent="0.25">
      <c r="H126" s="755"/>
    </row>
    <row r="127" spans="8:8" ht="15.75" customHeight="1" x14ac:dyDescent="0.25">
      <c r="H127" s="755"/>
    </row>
    <row r="128" spans="8:8" ht="15.75" customHeight="1" x14ac:dyDescent="0.25">
      <c r="H128" s="755"/>
    </row>
    <row r="129" spans="8:8" ht="15.75" customHeight="1" x14ac:dyDescent="0.25">
      <c r="H129" s="755"/>
    </row>
    <row r="130" spans="8:8" ht="15.75" customHeight="1" x14ac:dyDescent="0.25">
      <c r="H130" s="755"/>
    </row>
    <row r="131" spans="8:8" ht="15.75" customHeight="1" x14ac:dyDescent="0.25">
      <c r="H131" s="755"/>
    </row>
    <row r="132" spans="8:8" ht="15.75" customHeight="1" x14ac:dyDescent="0.25">
      <c r="H132" s="755"/>
    </row>
    <row r="133" spans="8:8" ht="15.75" customHeight="1" x14ac:dyDescent="0.25">
      <c r="H133" s="755"/>
    </row>
    <row r="134" spans="8:8" ht="15.75" customHeight="1" x14ac:dyDescent="0.25">
      <c r="H134" s="755"/>
    </row>
    <row r="135" spans="8:8" ht="15.75" customHeight="1" x14ac:dyDescent="0.25">
      <c r="H135" s="755"/>
    </row>
    <row r="136" spans="8:8" ht="15.75" customHeight="1" x14ac:dyDescent="0.25">
      <c r="H136" s="755"/>
    </row>
    <row r="137" spans="8:8" ht="15.75" customHeight="1" x14ac:dyDescent="0.25">
      <c r="H137" s="755"/>
    </row>
    <row r="138" spans="8:8" ht="15.75" customHeight="1" x14ac:dyDescent="0.25">
      <c r="H138" s="755"/>
    </row>
    <row r="139" spans="8:8" ht="15.75" customHeight="1" x14ac:dyDescent="0.25">
      <c r="H139" s="755"/>
    </row>
    <row r="140" spans="8:8" ht="15.75" customHeight="1" x14ac:dyDescent="0.25">
      <c r="H140" s="755"/>
    </row>
    <row r="141" spans="8:8" ht="15.75" customHeight="1" x14ac:dyDescent="0.25">
      <c r="H141" s="755"/>
    </row>
    <row r="142" spans="8:8" ht="15.75" customHeight="1" x14ac:dyDescent="0.25">
      <c r="H142" s="755"/>
    </row>
    <row r="143" spans="8:8" ht="15.75" customHeight="1" x14ac:dyDescent="0.25">
      <c r="H143" s="755"/>
    </row>
    <row r="144" spans="8:8" ht="15.75" customHeight="1" x14ac:dyDescent="0.25">
      <c r="H144" s="755"/>
    </row>
    <row r="145" spans="8:8" ht="15.75" customHeight="1" x14ac:dyDescent="0.25">
      <c r="H145" s="755"/>
    </row>
    <row r="146" spans="8:8" ht="15.75" customHeight="1" x14ac:dyDescent="0.25">
      <c r="H146" s="755"/>
    </row>
    <row r="147" spans="8:8" ht="15.75" customHeight="1" x14ac:dyDescent="0.25">
      <c r="H147" s="755"/>
    </row>
    <row r="148" spans="8:8" ht="15.75" customHeight="1" x14ac:dyDescent="0.25">
      <c r="H148" s="755"/>
    </row>
    <row r="149" spans="8:8" ht="15.75" customHeight="1" x14ac:dyDescent="0.25">
      <c r="H149" s="755"/>
    </row>
    <row r="150" spans="8:8" ht="15.75" customHeight="1" x14ac:dyDescent="0.25">
      <c r="H150" s="755"/>
    </row>
    <row r="151" spans="8:8" ht="15.75" customHeight="1" x14ac:dyDescent="0.25">
      <c r="H151" s="755"/>
    </row>
    <row r="152" spans="8:8" ht="15.75" customHeight="1" x14ac:dyDescent="0.25">
      <c r="H152" s="755"/>
    </row>
    <row r="153" spans="8:8" ht="15.75" customHeight="1" x14ac:dyDescent="0.25">
      <c r="H153" s="755"/>
    </row>
    <row r="154" spans="8:8" ht="15.75" customHeight="1" x14ac:dyDescent="0.25">
      <c r="H154" s="755"/>
    </row>
    <row r="155" spans="8:8" ht="15.75" customHeight="1" x14ac:dyDescent="0.25">
      <c r="H155" s="755"/>
    </row>
    <row r="156" spans="8:8" ht="15.75" customHeight="1" x14ac:dyDescent="0.25">
      <c r="H156" s="755"/>
    </row>
    <row r="157" spans="8:8" ht="15.75" customHeight="1" x14ac:dyDescent="0.25">
      <c r="H157" s="755"/>
    </row>
    <row r="158" spans="8:8" ht="15.75" customHeight="1" x14ac:dyDescent="0.25">
      <c r="H158" s="755"/>
    </row>
    <row r="159" spans="8:8" ht="15.75" customHeight="1" x14ac:dyDescent="0.25">
      <c r="H159" s="755"/>
    </row>
    <row r="160" spans="8:8" ht="15.75" customHeight="1" x14ac:dyDescent="0.25">
      <c r="H160" s="755"/>
    </row>
    <row r="161" spans="8:8" ht="15.75" customHeight="1" x14ac:dyDescent="0.25">
      <c r="H161" s="755"/>
    </row>
    <row r="162" spans="8:8" ht="15.75" customHeight="1" x14ac:dyDescent="0.25">
      <c r="H162" s="755"/>
    </row>
    <row r="163" spans="8:8" ht="15.75" customHeight="1" x14ac:dyDescent="0.25">
      <c r="H163" s="755"/>
    </row>
    <row r="164" spans="8:8" ht="15.75" customHeight="1" x14ac:dyDescent="0.25">
      <c r="H164" s="755"/>
    </row>
    <row r="165" spans="8:8" ht="15.75" customHeight="1" x14ac:dyDescent="0.25">
      <c r="H165" s="755"/>
    </row>
    <row r="166" spans="8:8" ht="15.75" customHeight="1" x14ac:dyDescent="0.25">
      <c r="H166" s="755"/>
    </row>
    <row r="167" spans="8:8" ht="15.75" customHeight="1" x14ac:dyDescent="0.25">
      <c r="H167" s="755"/>
    </row>
    <row r="168" spans="8:8" ht="15.75" customHeight="1" x14ac:dyDescent="0.25">
      <c r="H168" s="755"/>
    </row>
    <row r="169" spans="8:8" ht="15.75" customHeight="1" x14ac:dyDescent="0.25">
      <c r="H169" s="755"/>
    </row>
    <row r="170" spans="8:8" ht="15.75" customHeight="1" x14ac:dyDescent="0.25">
      <c r="H170" s="755"/>
    </row>
    <row r="171" spans="8:8" ht="15.75" customHeight="1" x14ac:dyDescent="0.25">
      <c r="H171" s="755"/>
    </row>
    <row r="172" spans="8:8" ht="15.75" customHeight="1" x14ac:dyDescent="0.25">
      <c r="H172" s="755"/>
    </row>
    <row r="173" spans="8:8" ht="15.75" customHeight="1" x14ac:dyDescent="0.25">
      <c r="H173" s="755"/>
    </row>
    <row r="174" spans="8:8" ht="15.75" customHeight="1" x14ac:dyDescent="0.25">
      <c r="H174" s="755"/>
    </row>
    <row r="175" spans="8:8" ht="15.75" customHeight="1" x14ac:dyDescent="0.25">
      <c r="H175" s="755"/>
    </row>
    <row r="176" spans="8:8" ht="15.75" customHeight="1" x14ac:dyDescent="0.25">
      <c r="H176" s="755"/>
    </row>
    <row r="177" spans="8:8" ht="15.75" customHeight="1" x14ac:dyDescent="0.25">
      <c r="H177" s="755"/>
    </row>
    <row r="178" spans="8:8" ht="15.75" customHeight="1" x14ac:dyDescent="0.25">
      <c r="H178" s="755"/>
    </row>
    <row r="179" spans="8:8" ht="15.75" customHeight="1" x14ac:dyDescent="0.25">
      <c r="H179" s="755"/>
    </row>
    <row r="180" spans="8:8" ht="15.75" customHeight="1" x14ac:dyDescent="0.25">
      <c r="H180" s="755"/>
    </row>
    <row r="181" spans="8:8" ht="15.75" customHeight="1" x14ac:dyDescent="0.25">
      <c r="H181" s="755"/>
    </row>
    <row r="182" spans="8:8" ht="15.75" customHeight="1" x14ac:dyDescent="0.25">
      <c r="H182" s="755"/>
    </row>
    <row r="183" spans="8:8" ht="15.75" customHeight="1" x14ac:dyDescent="0.25">
      <c r="H183" s="755"/>
    </row>
    <row r="184" spans="8:8" ht="15.75" customHeight="1" x14ac:dyDescent="0.25">
      <c r="H184" s="755"/>
    </row>
    <row r="185" spans="8:8" ht="15.75" customHeight="1" x14ac:dyDescent="0.25">
      <c r="H185" s="755"/>
    </row>
    <row r="186" spans="8:8" ht="15.75" customHeight="1" x14ac:dyDescent="0.25">
      <c r="H186" s="755"/>
    </row>
    <row r="187" spans="8:8" ht="15.75" customHeight="1" x14ac:dyDescent="0.25">
      <c r="H187" s="755"/>
    </row>
    <row r="188" spans="8:8" ht="15.75" customHeight="1" x14ac:dyDescent="0.25">
      <c r="H188" s="755"/>
    </row>
    <row r="189" spans="8:8" ht="15.75" customHeight="1" x14ac:dyDescent="0.25">
      <c r="H189" s="755"/>
    </row>
    <row r="190" spans="8:8" ht="15.75" customHeight="1" x14ac:dyDescent="0.25">
      <c r="H190" s="755"/>
    </row>
    <row r="191" spans="8:8" ht="15.75" customHeight="1" x14ac:dyDescent="0.25">
      <c r="H191" s="755"/>
    </row>
    <row r="192" spans="8:8" ht="15.75" customHeight="1" x14ac:dyDescent="0.25">
      <c r="H192" s="755"/>
    </row>
    <row r="193" spans="8:8" ht="15.75" customHeight="1" x14ac:dyDescent="0.25">
      <c r="H193" s="755"/>
    </row>
    <row r="194" spans="8:8" ht="15.75" customHeight="1" x14ac:dyDescent="0.25">
      <c r="H194" s="755"/>
    </row>
    <row r="195" spans="8:8" ht="15.75" customHeight="1" x14ac:dyDescent="0.25">
      <c r="H195" s="755"/>
    </row>
    <row r="196" spans="8:8" ht="15.75" customHeight="1" x14ac:dyDescent="0.25">
      <c r="H196" s="755"/>
    </row>
    <row r="197" spans="8:8" ht="15.75" customHeight="1" x14ac:dyDescent="0.25">
      <c r="H197" s="755"/>
    </row>
    <row r="198" spans="8:8" ht="15.75" customHeight="1" x14ac:dyDescent="0.25">
      <c r="H198" s="755"/>
    </row>
    <row r="199" spans="8:8" ht="15.75" customHeight="1" x14ac:dyDescent="0.25">
      <c r="H199" s="755"/>
    </row>
    <row r="200" spans="8:8" ht="15.75" customHeight="1" x14ac:dyDescent="0.25">
      <c r="H200" s="755"/>
    </row>
    <row r="201" spans="8:8" ht="15.75" customHeight="1" x14ac:dyDescent="0.25">
      <c r="H201" s="755"/>
    </row>
    <row r="202" spans="8:8" ht="15.75" customHeight="1" x14ac:dyDescent="0.25">
      <c r="H202" s="755"/>
    </row>
    <row r="203" spans="8:8" ht="15.75" customHeight="1" x14ac:dyDescent="0.25">
      <c r="H203" s="755"/>
    </row>
    <row r="204" spans="8:8" ht="15.75" customHeight="1" x14ac:dyDescent="0.25">
      <c r="H204" s="755"/>
    </row>
    <row r="205" spans="8:8" ht="15.75" customHeight="1" x14ac:dyDescent="0.25">
      <c r="H205" s="755"/>
    </row>
    <row r="206" spans="8:8" ht="15.75" customHeight="1" x14ac:dyDescent="0.25">
      <c r="H206" s="755"/>
    </row>
    <row r="207" spans="8:8" ht="15.75" customHeight="1" x14ac:dyDescent="0.25">
      <c r="H207" s="755"/>
    </row>
    <row r="208" spans="8:8" ht="15.75" customHeight="1" x14ac:dyDescent="0.25">
      <c r="H208" s="755"/>
    </row>
    <row r="209" spans="8:8" ht="15.75" customHeight="1" x14ac:dyDescent="0.25">
      <c r="H209" s="755"/>
    </row>
    <row r="210" spans="8:8" ht="15.75" customHeight="1" x14ac:dyDescent="0.25">
      <c r="H210" s="755"/>
    </row>
    <row r="211" spans="8:8" ht="15.75" customHeight="1" x14ac:dyDescent="0.25">
      <c r="H211" s="755"/>
    </row>
    <row r="212" spans="8:8" ht="15.75" customHeight="1" x14ac:dyDescent="0.25">
      <c r="H212" s="755"/>
    </row>
    <row r="213" spans="8:8" ht="15.75" customHeight="1" x14ac:dyDescent="0.25">
      <c r="H213" s="755"/>
    </row>
    <row r="214" spans="8:8" ht="15.75" customHeight="1" x14ac:dyDescent="0.25">
      <c r="H214" s="755"/>
    </row>
    <row r="215" spans="8:8" ht="15.75" customHeight="1" x14ac:dyDescent="0.25">
      <c r="H215" s="755"/>
    </row>
    <row r="216" spans="8:8" ht="15.75" customHeight="1" x14ac:dyDescent="0.25">
      <c r="H216" s="755"/>
    </row>
    <row r="217" spans="8:8" ht="15.75" customHeight="1" x14ac:dyDescent="0.25">
      <c r="H217" s="755"/>
    </row>
    <row r="218" spans="8:8" ht="15.75" customHeight="1" x14ac:dyDescent="0.25">
      <c r="H218" s="755"/>
    </row>
    <row r="219" spans="8:8" ht="15.75" customHeight="1" x14ac:dyDescent="0.25">
      <c r="H219" s="755"/>
    </row>
    <row r="220" spans="8:8" ht="15.75" customHeight="1" x14ac:dyDescent="0.25">
      <c r="H220" s="755"/>
    </row>
    <row r="221" spans="8:8" ht="15.75" customHeight="1" x14ac:dyDescent="0.25">
      <c r="H221" s="755"/>
    </row>
    <row r="222" spans="8:8" ht="15.75" customHeight="1" x14ac:dyDescent="0.25">
      <c r="H222" s="755"/>
    </row>
    <row r="223" spans="8:8" ht="15.75" customHeight="1" x14ac:dyDescent="0.25">
      <c r="H223" s="755"/>
    </row>
    <row r="224" spans="8:8" ht="15.75" customHeight="1" x14ac:dyDescent="0.25">
      <c r="H224" s="755"/>
    </row>
    <row r="225" spans="8:8" ht="15.75" customHeight="1" x14ac:dyDescent="0.25">
      <c r="H225" s="755"/>
    </row>
    <row r="226" spans="8:8" ht="15.75" customHeight="1" x14ac:dyDescent="0.25">
      <c r="H226" s="755"/>
    </row>
    <row r="227" spans="8:8" ht="15.75" customHeight="1" x14ac:dyDescent="0.25">
      <c r="H227" s="755"/>
    </row>
    <row r="228" spans="8:8" ht="15.75" customHeight="1" x14ac:dyDescent="0.25">
      <c r="H228" s="755"/>
    </row>
    <row r="229" spans="8:8" ht="15.75" customHeight="1" x14ac:dyDescent="0.25">
      <c r="H229" s="755"/>
    </row>
    <row r="230" spans="8:8" ht="15.75" customHeight="1" x14ac:dyDescent="0.25">
      <c r="H230" s="755"/>
    </row>
    <row r="231" spans="8:8" ht="15.75" customHeight="1" x14ac:dyDescent="0.25">
      <c r="H231" s="755"/>
    </row>
    <row r="232" spans="8:8" ht="15.75" customHeight="1" x14ac:dyDescent="0.25">
      <c r="H232" s="755"/>
    </row>
    <row r="233" spans="8:8" ht="15.75" customHeight="1" x14ac:dyDescent="0.25">
      <c r="H233" s="755"/>
    </row>
    <row r="234" spans="8:8" ht="15.75" customHeight="1" x14ac:dyDescent="0.25">
      <c r="H234" s="755"/>
    </row>
    <row r="235" spans="8:8" ht="15.75" customHeight="1" x14ac:dyDescent="0.25">
      <c r="H235" s="755"/>
    </row>
    <row r="236" spans="8:8" ht="15.75" customHeight="1" x14ac:dyDescent="0.25">
      <c r="H236" s="755"/>
    </row>
    <row r="237" spans="8:8" ht="15.75" customHeight="1" x14ac:dyDescent="0.25">
      <c r="H237" s="755"/>
    </row>
    <row r="238" spans="8:8" ht="15.75" customHeight="1" x14ac:dyDescent="0.25">
      <c r="H238" s="755"/>
    </row>
    <row r="239" spans="8:8" ht="15.75" customHeight="1" x14ac:dyDescent="0.25">
      <c r="H239" s="755"/>
    </row>
    <row r="240" spans="8:8" ht="15.75" customHeight="1" x14ac:dyDescent="0.25">
      <c r="H240" s="755"/>
    </row>
    <row r="241" spans="8:8" ht="15.75" customHeight="1" x14ac:dyDescent="0.25">
      <c r="H241" s="755"/>
    </row>
    <row r="242" spans="8:8" ht="15.75" customHeight="1" x14ac:dyDescent="0.25">
      <c r="H242" s="755"/>
    </row>
    <row r="243" spans="8:8" ht="15.75" customHeight="1" x14ac:dyDescent="0.25">
      <c r="H243" s="755"/>
    </row>
    <row r="244" spans="8:8" ht="15.75" customHeight="1" x14ac:dyDescent="0.25">
      <c r="H244" s="755"/>
    </row>
    <row r="245" spans="8:8" ht="15.75" customHeight="1" x14ac:dyDescent="0.25">
      <c r="H245" s="755"/>
    </row>
    <row r="246" spans="8:8" ht="15.75" customHeight="1" x14ac:dyDescent="0.25">
      <c r="H246" s="755"/>
    </row>
    <row r="247" spans="8:8" ht="15.75" customHeight="1" x14ac:dyDescent="0.25">
      <c r="H247" s="755"/>
    </row>
    <row r="248" spans="8:8" ht="15.75" customHeight="1" x14ac:dyDescent="0.25">
      <c r="H248" s="755"/>
    </row>
    <row r="249" spans="8:8" ht="15.75" customHeight="1" x14ac:dyDescent="0.25">
      <c r="H249" s="755"/>
    </row>
    <row r="250" spans="8:8" ht="15.75" customHeight="1" x14ac:dyDescent="0.25">
      <c r="H250" s="755"/>
    </row>
    <row r="251" spans="8:8" ht="15.75" customHeight="1" x14ac:dyDescent="0.25">
      <c r="H251" s="755"/>
    </row>
    <row r="252" spans="8:8" ht="15.75" customHeight="1" x14ac:dyDescent="0.25">
      <c r="H252" s="755"/>
    </row>
    <row r="253" spans="8:8" ht="15.75" customHeight="1" x14ac:dyDescent="0.25">
      <c r="H253" s="755"/>
    </row>
    <row r="254" spans="8:8" ht="15.75" customHeight="1" x14ac:dyDescent="0.25">
      <c r="H254" s="755"/>
    </row>
    <row r="255" spans="8:8" ht="15.75" customHeight="1" x14ac:dyDescent="0.25">
      <c r="H255" s="755"/>
    </row>
    <row r="256" spans="8:8" ht="15.75" customHeight="1" x14ac:dyDescent="0.25">
      <c r="H256" s="755"/>
    </row>
    <row r="257" spans="8:8" ht="15.75" customHeight="1" x14ac:dyDescent="0.25">
      <c r="H257" s="755"/>
    </row>
    <row r="258" spans="8:8" ht="15.75" customHeight="1" x14ac:dyDescent="0.25">
      <c r="H258" s="755"/>
    </row>
    <row r="259" spans="8:8" ht="15.75" customHeight="1" x14ac:dyDescent="0.25">
      <c r="H259" s="755"/>
    </row>
    <row r="260" spans="8:8" ht="15.75" customHeight="1" x14ac:dyDescent="0.25">
      <c r="H260" s="755"/>
    </row>
    <row r="261" spans="8:8" ht="15.75" customHeight="1" x14ac:dyDescent="0.25">
      <c r="H261" s="755"/>
    </row>
    <row r="262" spans="8:8" ht="15.75" customHeight="1" x14ac:dyDescent="0.25">
      <c r="H262" s="755"/>
    </row>
    <row r="263" spans="8:8" ht="15.75" customHeight="1" x14ac:dyDescent="0.25">
      <c r="H263" s="755"/>
    </row>
    <row r="264" spans="8:8" ht="15.75" customHeight="1" x14ac:dyDescent="0.25">
      <c r="H264" s="755"/>
    </row>
    <row r="265" spans="8:8" ht="15.75" customHeight="1" x14ac:dyDescent="0.25">
      <c r="H265" s="755"/>
    </row>
    <row r="266" spans="8:8" ht="15.75" customHeight="1" x14ac:dyDescent="0.25">
      <c r="H266" s="755"/>
    </row>
    <row r="267" spans="8:8" ht="15.75" customHeight="1" x14ac:dyDescent="0.25">
      <c r="H267" s="755"/>
    </row>
    <row r="268" spans="8:8" ht="15.75" customHeight="1" x14ac:dyDescent="0.25">
      <c r="H268" s="755"/>
    </row>
    <row r="269" spans="8:8" ht="15.75" customHeight="1" x14ac:dyDescent="0.25">
      <c r="H269" s="755"/>
    </row>
    <row r="270" spans="8:8" ht="15.75" customHeight="1" x14ac:dyDescent="0.25">
      <c r="H270" s="755"/>
    </row>
    <row r="271" spans="8:8" ht="15.75" customHeight="1" x14ac:dyDescent="0.25">
      <c r="H271" s="755"/>
    </row>
    <row r="272" spans="8:8" ht="15.75" customHeight="1" x14ac:dyDescent="0.25">
      <c r="H272" s="755"/>
    </row>
    <row r="273" spans="8:8" ht="15.75" customHeight="1" x14ac:dyDescent="0.25">
      <c r="H273" s="755"/>
    </row>
    <row r="274" spans="8:8" ht="15.75" customHeight="1" x14ac:dyDescent="0.25">
      <c r="H274" s="755"/>
    </row>
    <row r="275" spans="8:8" ht="15.75" customHeight="1" x14ac:dyDescent="0.25">
      <c r="H275" s="755"/>
    </row>
    <row r="276" spans="8:8" ht="15.75" customHeight="1" x14ac:dyDescent="0.25">
      <c r="H276" s="755"/>
    </row>
    <row r="277" spans="8:8" ht="15.75" customHeight="1" x14ac:dyDescent="0.25">
      <c r="H277" s="755"/>
    </row>
    <row r="278" spans="8:8" ht="15.75" customHeight="1" x14ac:dyDescent="0.25">
      <c r="H278" s="755"/>
    </row>
    <row r="279" spans="8:8" ht="15.75" customHeight="1" x14ac:dyDescent="0.25">
      <c r="H279" s="755"/>
    </row>
    <row r="280" spans="8:8" ht="15.75" customHeight="1" x14ac:dyDescent="0.25">
      <c r="H280" s="755"/>
    </row>
    <row r="281" spans="8:8" ht="15.75" customHeight="1" x14ac:dyDescent="0.25">
      <c r="H281" s="755"/>
    </row>
    <row r="282" spans="8:8" ht="15.75" customHeight="1" x14ac:dyDescent="0.25">
      <c r="H282" s="755"/>
    </row>
    <row r="283" spans="8:8" ht="15.75" customHeight="1" x14ac:dyDescent="0.25">
      <c r="H283" s="755"/>
    </row>
    <row r="284" spans="8:8" ht="15.75" customHeight="1" x14ac:dyDescent="0.25">
      <c r="H284" s="755"/>
    </row>
    <row r="285" spans="8:8" ht="15.75" customHeight="1" x14ac:dyDescent="0.25">
      <c r="H285" s="755"/>
    </row>
    <row r="286" spans="8:8" ht="15.75" customHeight="1" x14ac:dyDescent="0.25">
      <c r="H286" s="755"/>
    </row>
    <row r="287" spans="8:8" ht="15.75" customHeight="1" x14ac:dyDescent="0.25">
      <c r="H287" s="755"/>
    </row>
    <row r="288" spans="8:8" ht="15.75" customHeight="1" x14ac:dyDescent="0.25">
      <c r="H288" s="755"/>
    </row>
    <row r="289" spans="8:8" ht="15.75" customHeight="1" x14ac:dyDescent="0.25">
      <c r="H289" s="755"/>
    </row>
    <row r="290" spans="8:8" ht="15.75" customHeight="1" x14ac:dyDescent="0.25">
      <c r="H290" s="755"/>
    </row>
    <row r="291" spans="8:8" ht="15.75" customHeight="1" x14ac:dyDescent="0.25">
      <c r="H291" s="755"/>
    </row>
    <row r="292" spans="8:8" ht="15.75" customHeight="1" x14ac:dyDescent="0.25">
      <c r="H292" s="755"/>
    </row>
    <row r="293" spans="8:8" ht="15.75" customHeight="1" x14ac:dyDescent="0.25">
      <c r="H293" s="755"/>
    </row>
    <row r="294" spans="8:8" ht="15.75" customHeight="1" x14ac:dyDescent="0.25">
      <c r="H294" s="755"/>
    </row>
    <row r="295" spans="8:8" ht="15.75" customHeight="1" x14ac:dyDescent="0.25">
      <c r="H295" s="755"/>
    </row>
    <row r="296" spans="8:8" ht="15.75" customHeight="1" x14ac:dyDescent="0.25">
      <c r="H296" s="755"/>
    </row>
    <row r="297" spans="8:8" ht="15.75" customHeight="1" x14ac:dyDescent="0.25">
      <c r="H297" s="755"/>
    </row>
    <row r="298" spans="8:8" ht="15.75" customHeight="1" x14ac:dyDescent="0.25">
      <c r="H298" s="755"/>
    </row>
    <row r="299" spans="8:8" ht="15.75" customHeight="1" x14ac:dyDescent="0.25">
      <c r="H299" s="755"/>
    </row>
    <row r="300" spans="8:8" ht="15.75" customHeight="1" x14ac:dyDescent="0.25">
      <c r="H300" s="755"/>
    </row>
    <row r="301" spans="8:8" ht="15.75" customHeight="1" x14ac:dyDescent="0.25">
      <c r="H301" s="755"/>
    </row>
    <row r="302" spans="8:8" ht="15.75" customHeight="1" x14ac:dyDescent="0.25">
      <c r="H302" s="755"/>
    </row>
    <row r="303" spans="8:8" ht="15.75" customHeight="1" x14ac:dyDescent="0.25">
      <c r="H303" s="755"/>
    </row>
    <row r="304" spans="8:8" ht="15.75" customHeight="1" x14ac:dyDescent="0.25">
      <c r="H304" s="755"/>
    </row>
    <row r="305" spans="8:8" ht="15.75" customHeight="1" x14ac:dyDescent="0.25">
      <c r="H305" s="755"/>
    </row>
    <row r="306" spans="8:8" ht="15.75" customHeight="1" x14ac:dyDescent="0.25">
      <c r="H306" s="755"/>
    </row>
    <row r="307" spans="8:8" ht="15.75" customHeight="1" x14ac:dyDescent="0.25">
      <c r="H307" s="755"/>
    </row>
    <row r="308" spans="8:8" ht="15.75" customHeight="1" x14ac:dyDescent="0.25">
      <c r="H308" s="755"/>
    </row>
    <row r="309" spans="8:8" ht="15.75" customHeight="1" x14ac:dyDescent="0.25">
      <c r="H309" s="755"/>
    </row>
    <row r="310" spans="8:8" ht="15.75" customHeight="1" x14ac:dyDescent="0.25">
      <c r="H310" s="755"/>
    </row>
    <row r="311" spans="8:8" ht="15.75" customHeight="1" x14ac:dyDescent="0.25">
      <c r="H311" s="755"/>
    </row>
    <row r="312" spans="8:8" ht="15.75" customHeight="1" x14ac:dyDescent="0.25">
      <c r="H312" s="755"/>
    </row>
    <row r="313" spans="8:8" ht="15.75" customHeight="1" x14ac:dyDescent="0.25">
      <c r="H313" s="755"/>
    </row>
    <row r="314" spans="8:8" ht="15.75" customHeight="1" x14ac:dyDescent="0.25">
      <c r="H314" s="755"/>
    </row>
    <row r="315" spans="8:8" ht="15.75" customHeight="1" x14ac:dyDescent="0.25">
      <c r="H315" s="755"/>
    </row>
    <row r="316" spans="8:8" ht="15.75" customHeight="1" x14ac:dyDescent="0.25">
      <c r="H316" s="755"/>
    </row>
    <row r="317" spans="8:8" ht="15.75" customHeight="1" x14ac:dyDescent="0.25">
      <c r="H317" s="755"/>
    </row>
    <row r="318" spans="8:8" ht="15.75" customHeight="1" x14ac:dyDescent="0.25">
      <c r="H318" s="755"/>
    </row>
    <row r="319" spans="8:8" ht="15.75" customHeight="1" x14ac:dyDescent="0.25">
      <c r="H319" s="755"/>
    </row>
    <row r="320" spans="8:8" ht="15.75" customHeight="1" x14ac:dyDescent="0.25">
      <c r="H320" s="755"/>
    </row>
    <row r="321" spans="8:8" ht="15.75" customHeight="1" x14ac:dyDescent="0.25">
      <c r="H321" s="755"/>
    </row>
    <row r="322" spans="8:8" ht="15.75" customHeight="1" x14ac:dyDescent="0.25">
      <c r="H322" s="755"/>
    </row>
    <row r="323" spans="8:8" ht="15.75" customHeight="1" x14ac:dyDescent="0.25">
      <c r="H323" s="755"/>
    </row>
    <row r="324" spans="8:8" ht="15.75" customHeight="1" x14ac:dyDescent="0.25">
      <c r="H324" s="755"/>
    </row>
    <row r="325" spans="8:8" ht="15.75" customHeight="1" x14ac:dyDescent="0.25">
      <c r="H325" s="755"/>
    </row>
    <row r="326" spans="8:8" ht="15.75" customHeight="1" x14ac:dyDescent="0.25">
      <c r="H326" s="755"/>
    </row>
    <row r="327" spans="8:8" ht="15.75" customHeight="1" x14ac:dyDescent="0.25">
      <c r="H327" s="755"/>
    </row>
    <row r="328" spans="8:8" ht="15.75" customHeight="1" x14ac:dyDescent="0.25">
      <c r="H328" s="755"/>
    </row>
    <row r="329" spans="8:8" ht="15.75" customHeight="1" x14ac:dyDescent="0.25">
      <c r="H329" s="755"/>
    </row>
    <row r="330" spans="8:8" ht="15.75" customHeight="1" x14ac:dyDescent="0.25">
      <c r="H330" s="755"/>
    </row>
    <row r="331" spans="8:8" ht="15.75" customHeight="1" x14ac:dyDescent="0.25">
      <c r="H331" s="755"/>
    </row>
    <row r="332" spans="8:8" ht="15.75" customHeight="1" x14ac:dyDescent="0.25">
      <c r="H332" s="755"/>
    </row>
    <row r="333" spans="8:8" ht="15.75" customHeight="1" x14ac:dyDescent="0.25">
      <c r="H333" s="755"/>
    </row>
    <row r="334" spans="8:8" ht="15.75" customHeight="1" x14ac:dyDescent="0.25">
      <c r="H334" s="755"/>
    </row>
    <row r="335" spans="8:8" ht="15.75" customHeight="1" x14ac:dyDescent="0.25">
      <c r="H335" s="755"/>
    </row>
    <row r="336" spans="8:8" ht="15.75" customHeight="1" x14ac:dyDescent="0.25">
      <c r="H336" s="755"/>
    </row>
    <row r="337" spans="8:8" ht="15.75" customHeight="1" x14ac:dyDescent="0.25">
      <c r="H337" s="755"/>
    </row>
    <row r="338" spans="8:8" ht="15.75" customHeight="1" x14ac:dyDescent="0.25">
      <c r="H338" s="755"/>
    </row>
    <row r="339" spans="8:8" ht="15.75" customHeight="1" x14ac:dyDescent="0.25">
      <c r="H339" s="755"/>
    </row>
    <row r="340" spans="8:8" ht="15.75" customHeight="1" x14ac:dyDescent="0.25">
      <c r="H340" s="755"/>
    </row>
    <row r="341" spans="8:8" ht="15.75" customHeight="1" x14ac:dyDescent="0.25">
      <c r="H341" s="755"/>
    </row>
    <row r="342" spans="8:8" ht="15.75" customHeight="1" x14ac:dyDescent="0.25">
      <c r="H342" s="755"/>
    </row>
    <row r="343" spans="8:8" ht="15.75" customHeight="1" x14ac:dyDescent="0.25">
      <c r="H343" s="755"/>
    </row>
    <row r="344" spans="8:8" ht="15.75" customHeight="1" x14ac:dyDescent="0.25">
      <c r="H344" s="755"/>
    </row>
    <row r="345" spans="8:8" ht="15.75" customHeight="1" x14ac:dyDescent="0.25">
      <c r="H345" s="755"/>
    </row>
    <row r="346" spans="8:8" ht="15.75" customHeight="1" x14ac:dyDescent="0.25">
      <c r="H346" s="755"/>
    </row>
    <row r="347" spans="8:8" ht="15.75" customHeight="1" x14ac:dyDescent="0.25">
      <c r="H347" s="755"/>
    </row>
    <row r="348" spans="8:8" ht="15.75" customHeight="1" x14ac:dyDescent="0.25">
      <c r="H348" s="755"/>
    </row>
    <row r="349" spans="8:8" ht="15.75" customHeight="1" x14ac:dyDescent="0.25">
      <c r="H349" s="755"/>
    </row>
    <row r="350" spans="8:8" ht="15.75" customHeight="1" x14ac:dyDescent="0.25">
      <c r="H350" s="755"/>
    </row>
    <row r="351" spans="8:8" ht="15.75" customHeight="1" x14ac:dyDescent="0.25">
      <c r="H351" s="755"/>
    </row>
    <row r="352" spans="8:8" ht="15.75" customHeight="1" x14ac:dyDescent="0.25">
      <c r="H352" s="755"/>
    </row>
    <row r="353" spans="8:8" ht="15.75" customHeight="1" x14ac:dyDescent="0.25">
      <c r="H353" s="755"/>
    </row>
    <row r="354" spans="8:8" ht="15.75" customHeight="1" x14ac:dyDescent="0.25">
      <c r="H354" s="755"/>
    </row>
    <row r="355" spans="8:8" ht="15.75" customHeight="1" x14ac:dyDescent="0.25">
      <c r="H355" s="755"/>
    </row>
    <row r="356" spans="8:8" ht="15.75" customHeight="1" x14ac:dyDescent="0.25">
      <c r="H356" s="755"/>
    </row>
    <row r="357" spans="8:8" ht="15.75" customHeight="1" x14ac:dyDescent="0.25">
      <c r="H357" s="755"/>
    </row>
    <row r="358" spans="8:8" ht="15.75" customHeight="1" x14ac:dyDescent="0.25">
      <c r="H358" s="755"/>
    </row>
    <row r="359" spans="8:8" ht="15.75" customHeight="1" x14ac:dyDescent="0.25">
      <c r="H359" s="755"/>
    </row>
    <row r="360" spans="8:8" ht="15.75" customHeight="1" x14ac:dyDescent="0.25">
      <c r="H360" s="755"/>
    </row>
    <row r="361" spans="8:8" ht="15.75" customHeight="1" x14ac:dyDescent="0.25">
      <c r="H361" s="755"/>
    </row>
    <row r="362" spans="8:8" ht="15.75" customHeight="1" x14ac:dyDescent="0.25">
      <c r="H362" s="755"/>
    </row>
    <row r="363" spans="8:8" ht="15.75" customHeight="1" x14ac:dyDescent="0.25">
      <c r="H363" s="755"/>
    </row>
    <row r="364" spans="8:8" ht="15.75" customHeight="1" x14ac:dyDescent="0.25">
      <c r="H364" s="755"/>
    </row>
    <row r="365" spans="8:8" ht="15.75" customHeight="1" x14ac:dyDescent="0.25">
      <c r="H365" s="755"/>
    </row>
    <row r="366" spans="8:8" ht="15.75" customHeight="1" x14ac:dyDescent="0.25">
      <c r="H366" s="755"/>
    </row>
    <row r="367" spans="8:8" ht="15.75" customHeight="1" x14ac:dyDescent="0.25">
      <c r="H367" s="755"/>
    </row>
    <row r="368" spans="8:8" ht="15.75" customHeight="1" x14ac:dyDescent="0.25">
      <c r="H368" s="755"/>
    </row>
    <row r="369" spans="8:8" ht="15.75" customHeight="1" x14ac:dyDescent="0.25">
      <c r="H369" s="755"/>
    </row>
    <row r="370" spans="8:8" ht="15.75" customHeight="1" x14ac:dyDescent="0.25">
      <c r="H370" s="755"/>
    </row>
    <row r="371" spans="8:8" ht="15.75" customHeight="1" x14ac:dyDescent="0.25">
      <c r="H371" s="755"/>
    </row>
    <row r="372" spans="8:8" ht="15.75" customHeight="1" x14ac:dyDescent="0.25">
      <c r="H372" s="755"/>
    </row>
    <row r="373" spans="8:8" ht="15.75" customHeight="1" x14ac:dyDescent="0.25">
      <c r="H373" s="755"/>
    </row>
    <row r="374" spans="8:8" ht="15.75" customHeight="1" x14ac:dyDescent="0.25">
      <c r="H374" s="755"/>
    </row>
    <row r="375" spans="8:8" ht="15.75" customHeight="1" x14ac:dyDescent="0.25">
      <c r="H375" s="755"/>
    </row>
    <row r="376" spans="8:8" ht="15.75" customHeight="1" x14ac:dyDescent="0.25">
      <c r="H376" s="755"/>
    </row>
    <row r="377" spans="8:8" ht="15.75" customHeight="1" x14ac:dyDescent="0.25">
      <c r="H377" s="755"/>
    </row>
    <row r="378" spans="8:8" ht="15.75" customHeight="1" x14ac:dyDescent="0.25">
      <c r="H378" s="755"/>
    </row>
    <row r="379" spans="8:8" ht="15.75" customHeight="1" x14ac:dyDescent="0.25">
      <c r="H379" s="755"/>
    </row>
    <row r="380" spans="8:8" ht="15.75" customHeight="1" x14ac:dyDescent="0.25">
      <c r="H380" s="755"/>
    </row>
    <row r="381" spans="8:8" ht="15.75" customHeight="1" x14ac:dyDescent="0.25">
      <c r="H381" s="755"/>
    </row>
    <row r="382" spans="8:8" ht="15.75" customHeight="1" x14ac:dyDescent="0.25">
      <c r="H382" s="755"/>
    </row>
    <row r="383" spans="8:8" ht="15.75" customHeight="1" x14ac:dyDescent="0.25">
      <c r="H383" s="755"/>
    </row>
    <row r="384" spans="8:8" ht="15.75" customHeight="1" x14ac:dyDescent="0.25">
      <c r="H384" s="755"/>
    </row>
    <row r="385" spans="8:8" ht="15.75" customHeight="1" x14ac:dyDescent="0.25">
      <c r="H385" s="755"/>
    </row>
    <row r="386" spans="8:8" ht="15.75" customHeight="1" x14ac:dyDescent="0.25">
      <c r="H386" s="755"/>
    </row>
    <row r="387" spans="8:8" ht="15.75" customHeight="1" x14ac:dyDescent="0.25">
      <c r="H387" s="755"/>
    </row>
    <row r="388" spans="8:8" ht="15.75" customHeight="1" x14ac:dyDescent="0.25">
      <c r="H388" s="755"/>
    </row>
    <row r="389" spans="8:8" ht="15.75" customHeight="1" x14ac:dyDescent="0.25">
      <c r="H389" s="755"/>
    </row>
    <row r="390" spans="8:8" ht="15.75" customHeight="1" x14ac:dyDescent="0.25">
      <c r="H390" s="755"/>
    </row>
    <row r="391" spans="8:8" ht="15.75" customHeight="1" x14ac:dyDescent="0.25">
      <c r="H391" s="755"/>
    </row>
    <row r="392" spans="8:8" ht="15.75" customHeight="1" x14ac:dyDescent="0.25">
      <c r="H392" s="755"/>
    </row>
    <row r="393" spans="8:8" ht="15.75" customHeight="1" x14ac:dyDescent="0.25">
      <c r="H393" s="755"/>
    </row>
    <row r="394" spans="8:8" ht="15.75" customHeight="1" x14ac:dyDescent="0.25">
      <c r="H394" s="755"/>
    </row>
    <row r="395" spans="8:8" ht="15.75" customHeight="1" x14ac:dyDescent="0.25">
      <c r="H395" s="755"/>
    </row>
    <row r="396" spans="8:8" ht="15.75" customHeight="1" x14ac:dyDescent="0.25">
      <c r="H396" s="755"/>
    </row>
    <row r="397" spans="8:8" ht="15.75" customHeight="1" x14ac:dyDescent="0.25">
      <c r="H397" s="755"/>
    </row>
    <row r="398" spans="8:8" ht="15.75" customHeight="1" x14ac:dyDescent="0.25">
      <c r="H398" s="755"/>
    </row>
    <row r="399" spans="8:8" ht="15.75" customHeight="1" x14ac:dyDescent="0.25">
      <c r="H399" s="755"/>
    </row>
    <row r="400" spans="8:8" ht="15.75" customHeight="1" x14ac:dyDescent="0.25">
      <c r="H400" s="755"/>
    </row>
    <row r="401" spans="8:8" ht="15.75" customHeight="1" x14ac:dyDescent="0.25">
      <c r="H401" s="755"/>
    </row>
    <row r="402" spans="8:8" ht="15.75" customHeight="1" x14ac:dyDescent="0.25">
      <c r="H402" s="755"/>
    </row>
    <row r="403" spans="8:8" ht="15.75" customHeight="1" x14ac:dyDescent="0.25">
      <c r="H403" s="755"/>
    </row>
    <row r="404" spans="8:8" ht="15.75" customHeight="1" x14ac:dyDescent="0.25">
      <c r="H404" s="755"/>
    </row>
    <row r="405" spans="8:8" ht="15.75" customHeight="1" x14ac:dyDescent="0.25">
      <c r="H405" s="755"/>
    </row>
    <row r="406" spans="8:8" ht="15.75" customHeight="1" x14ac:dyDescent="0.25">
      <c r="H406" s="755"/>
    </row>
    <row r="407" spans="8:8" ht="15.75" customHeight="1" x14ac:dyDescent="0.25">
      <c r="H407" s="755"/>
    </row>
    <row r="408" spans="8:8" ht="15.75" customHeight="1" x14ac:dyDescent="0.25">
      <c r="H408" s="755"/>
    </row>
    <row r="409" spans="8:8" ht="15.75" customHeight="1" x14ac:dyDescent="0.25">
      <c r="H409" s="755"/>
    </row>
    <row r="410" spans="8:8" ht="15.75" customHeight="1" x14ac:dyDescent="0.25">
      <c r="H410" s="755"/>
    </row>
    <row r="411" spans="8:8" ht="15.75" customHeight="1" x14ac:dyDescent="0.25">
      <c r="H411" s="755"/>
    </row>
    <row r="412" spans="8:8" ht="15.75" customHeight="1" x14ac:dyDescent="0.25">
      <c r="H412" s="755"/>
    </row>
    <row r="413" spans="8:8" ht="15.75" customHeight="1" x14ac:dyDescent="0.25">
      <c r="H413" s="755"/>
    </row>
    <row r="414" spans="8:8" ht="15.75" customHeight="1" x14ac:dyDescent="0.25">
      <c r="H414" s="755"/>
    </row>
    <row r="415" spans="8:8" ht="15.75" customHeight="1" x14ac:dyDescent="0.25">
      <c r="H415" s="755"/>
    </row>
    <row r="416" spans="8:8" ht="15.75" customHeight="1" x14ac:dyDescent="0.25">
      <c r="H416" s="755"/>
    </row>
    <row r="417" spans="8:8" ht="15.75" customHeight="1" x14ac:dyDescent="0.25">
      <c r="H417" s="755"/>
    </row>
    <row r="418" spans="8:8" ht="15.75" customHeight="1" x14ac:dyDescent="0.25">
      <c r="H418" s="755"/>
    </row>
    <row r="419" spans="8:8" ht="15.75" customHeight="1" x14ac:dyDescent="0.25">
      <c r="H419" s="755"/>
    </row>
    <row r="420" spans="8:8" ht="15.75" customHeight="1" x14ac:dyDescent="0.25">
      <c r="H420" s="755"/>
    </row>
    <row r="421" spans="8:8" ht="15.75" customHeight="1" x14ac:dyDescent="0.25">
      <c r="H421" s="755"/>
    </row>
    <row r="422" spans="8:8" ht="15.75" customHeight="1" x14ac:dyDescent="0.25">
      <c r="H422" s="755"/>
    </row>
    <row r="423" spans="8:8" ht="15.75" customHeight="1" x14ac:dyDescent="0.25">
      <c r="H423" s="755"/>
    </row>
    <row r="424" spans="8:8" ht="15.75" customHeight="1" x14ac:dyDescent="0.25">
      <c r="H424" s="755"/>
    </row>
    <row r="425" spans="8:8" ht="15.75" customHeight="1" x14ac:dyDescent="0.25">
      <c r="H425" s="755"/>
    </row>
    <row r="426" spans="8:8" ht="15.75" customHeight="1" x14ac:dyDescent="0.25">
      <c r="H426" s="755"/>
    </row>
    <row r="427" spans="8:8" ht="15.75" customHeight="1" x14ac:dyDescent="0.25">
      <c r="H427" s="755"/>
    </row>
    <row r="428" spans="8:8" ht="15.75" customHeight="1" x14ac:dyDescent="0.25">
      <c r="H428" s="755"/>
    </row>
    <row r="429" spans="8:8" ht="15.75" customHeight="1" x14ac:dyDescent="0.25">
      <c r="H429" s="755"/>
    </row>
    <row r="430" spans="8:8" ht="15.75" customHeight="1" x14ac:dyDescent="0.25">
      <c r="H430" s="755"/>
    </row>
    <row r="431" spans="8:8" ht="15.75" customHeight="1" x14ac:dyDescent="0.25">
      <c r="H431" s="755"/>
    </row>
    <row r="432" spans="8:8" ht="15.75" customHeight="1" x14ac:dyDescent="0.25">
      <c r="H432" s="755"/>
    </row>
    <row r="433" spans="8:8" ht="15.75" customHeight="1" x14ac:dyDescent="0.25">
      <c r="H433" s="755"/>
    </row>
    <row r="434" spans="8:8" ht="15.75" customHeight="1" x14ac:dyDescent="0.25">
      <c r="H434" s="755"/>
    </row>
    <row r="435" spans="8:8" ht="15.75" customHeight="1" x14ac:dyDescent="0.25">
      <c r="H435" s="755"/>
    </row>
    <row r="436" spans="8:8" ht="15.75" customHeight="1" x14ac:dyDescent="0.25">
      <c r="H436" s="755"/>
    </row>
    <row r="437" spans="8:8" ht="15.75" customHeight="1" x14ac:dyDescent="0.25">
      <c r="H437" s="755"/>
    </row>
    <row r="438" spans="8:8" ht="15.75" customHeight="1" x14ac:dyDescent="0.25">
      <c r="H438" s="755"/>
    </row>
    <row r="439" spans="8:8" ht="15.75" customHeight="1" x14ac:dyDescent="0.25">
      <c r="H439" s="755"/>
    </row>
    <row r="440" spans="8:8" ht="15.75" customHeight="1" x14ac:dyDescent="0.25">
      <c r="H440" s="755"/>
    </row>
    <row r="441" spans="8:8" ht="15.75" customHeight="1" x14ac:dyDescent="0.25">
      <c r="H441" s="755"/>
    </row>
    <row r="442" spans="8:8" ht="15.75" customHeight="1" x14ac:dyDescent="0.25">
      <c r="H442" s="755"/>
    </row>
    <row r="443" spans="8:8" ht="15.75" customHeight="1" x14ac:dyDescent="0.25">
      <c r="H443" s="755"/>
    </row>
    <row r="444" spans="8:8" ht="15.75" customHeight="1" x14ac:dyDescent="0.25">
      <c r="H444" s="755"/>
    </row>
    <row r="445" spans="8:8" ht="15.75" customHeight="1" x14ac:dyDescent="0.25">
      <c r="H445" s="755"/>
    </row>
    <row r="446" spans="8:8" ht="15.75" customHeight="1" x14ac:dyDescent="0.25">
      <c r="H446" s="755"/>
    </row>
    <row r="447" spans="8:8" ht="15.75" customHeight="1" x14ac:dyDescent="0.25">
      <c r="H447" s="755"/>
    </row>
    <row r="448" spans="8:8" ht="15.75" customHeight="1" x14ac:dyDescent="0.25">
      <c r="H448" s="755"/>
    </row>
    <row r="449" spans="8:8" ht="15.75" customHeight="1" x14ac:dyDescent="0.25">
      <c r="H449" s="755"/>
    </row>
    <row r="450" spans="8:8" ht="15.75" customHeight="1" x14ac:dyDescent="0.25">
      <c r="H450" s="755"/>
    </row>
    <row r="451" spans="8:8" ht="15.75" customHeight="1" x14ac:dyDescent="0.25">
      <c r="H451" s="755"/>
    </row>
    <row r="452" spans="8:8" ht="15.75" customHeight="1" x14ac:dyDescent="0.25">
      <c r="H452" s="755"/>
    </row>
    <row r="453" spans="8:8" ht="15.75" customHeight="1" x14ac:dyDescent="0.25">
      <c r="H453" s="755"/>
    </row>
    <row r="454" spans="8:8" ht="15.75" customHeight="1" x14ac:dyDescent="0.25">
      <c r="H454" s="755"/>
    </row>
    <row r="455" spans="8:8" ht="15.75" customHeight="1" x14ac:dyDescent="0.25">
      <c r="H455" s="755"/>
    </row>
    <row r="456" spans="8:8" ht="15.75" customHeight="1" x14ac:dyDescent="0.25">
      <c r="H456" s="755"/>
    </row>
    <row r="457" spans="8:8" ht="15.75" customHeight="1" x14ac:dyDescent="0.25">
      <c r="H457" s="755"/>
    </row>
    <row r="458" spans="8:8" ht="15.75" customHeight="1" x14ac:dyDescent="0.25">
      <c r="H458" s="755"/>
    </row>
    <row r="459" spans="8:8" ht="15.75" customHeight="1" x14ac:dyDescent="0.25">
      <c r="H459" s="755"/>
    </row>
    <row r="460" spans="8:8" ht="15.75" customHeight="1" x14ac:dyDescent="0.25">
      <c r="H460" s="755"/>
    </row>
    <row r="461" spans="8:8" ht="15.75" customHeight="1" x14ac:dyDescent="0.25">
      <c r="H461" s="755"/>
    </row>
    <row r="462" spans="8:8" ht="15.75" customHeight="1" x14ac:dyDescent="0.25">
      <c r="H462" s="755"/>
    </row>
    <row r="463" spans="8:8" ht="15.75" customHeight="1" x14ac:dyDescent="0.25">
      <c r="H463" s="755"/>
    </row>
    <row r="464" spans="8:8" ht="15.75" customHeight="1" x14ac:dyDescent="0.25">
      <c r="H464" s="755"/>
    </row>
    <row r="465" spans="8:8" ht="15.75" customHeight="1" x14ac:dyDescent="0.25">
      <c r="H465" s="755"/>
    </row>
    <row r="466" spans="8:8" ht="15.75" customHeight="1" x14ac:dyDescent="0.25">
      <c r="H466" s="755"/>
    </row>
    <row r="467" spans="8:8" ht="15.75" customHeight="1" x14ac:dyDescent="0.25">
      <c r="H467" s="755"/>
    </row>
    <row r="468" spans="8:8" ht="15.75" customHeight="1" x14ac:dyDescent="0.25">
      <c r="H468" s="755"/>
    </row>
    <row r="469" spans="8:8" ht="15.75" customHeight="1" x14ac:dyDescent="0.25">
      <c r="H469" s="755"/>
    </row>
    <row r="470" spans="8:8" ht="15.75" customHeight="1" x14ac:dyDescent="0.25">
      <c r="H470" s="755"/>
    </row>
    <row r="471" spans="8:8" ht="15.75" customHeight="1" x14ac:dyDescent="0.25">
      <c r="H471" s="755"/>
    </row>
    <row r="472" spans="8:8" ht="15.75" customHeight="1" x14ac:dyDescent="0.25">
      <c r="H472" s="755"/>
    </row>
    <row r="473" spans="8:8" ht="15.75" customHeight="1" x14ac:dyDescent="0.25">
      <c r="H473" s="755"/>
    </row>
    <row r="474" spans="8:8" ht="15.75" customHeight="1" x14ac:dyDescent="0.25">
      <c r="H474" s="755"/>
    </row>
    <row r="475" spans="8:8" ht="15.75" customHeight="1" x14ac:dyDescent="0.25">
      <c r="H475" s="755"/>
    </row>
    <row r="476" spans="8:8" ht="15.75" customHeight="1" x14ac:dyDescent="0.25">
      <c r="H476" s="755"/>
    </row>
    <row r="477" spans="8:8" ht="15.75" customHeight="1" x14ac:dyDescent="0.25">
      <c r="H477" s="755"/>
    </row>
    <row r="478" spans="8:8" ht="15.75" customHeight="1" x14ac:dyDescent="0.25">
      <c r="H478" s="755"/>
    </row>
    <row r="479" spans="8:8" ht="15.75" customHeight="1" x14ac:dyDescent="0.25">
      <c r="H479" s="755"/>
    </row>
    <row r="480" spans="8:8" ht="15.75" customHeight="1" x14ac:dyDescent="0.25">
      <c r="H480" s="755"/>
    </row>
    <row r="481" spans="8:8" ht="15.75" customHeight="1" x14ac:dyDescent="0.25">
      <c r="H481" s="755"/>
    </row>
    <row r="482" spans="8:8" ht="15.75" customHeight="1" x14ac:dyDescent="0.25">
      <c r="H482" s="755"/>
    </row>
    <row r="483" spans="8:8" ht="15.75" customHeight="1" x14ac:dyDescent="0.25">
      <c r="H483" s="755"/>
    </row>
    <row r="484" spans="8:8" ht="15.75" customHeight="1" x14ac:dyDescent="0.25">
      <c r="H484" s="755"/>
    </row>
    <row r="485" spans="8:8" ht="15.75" customHeight="1" x14ac:dyDescent="0.25">
      <c r="H485" s="755"/>
    </row>
    <row r="486" spans="8:8" ht="15.75" customHeight="1" x14ac:dyDescent="0.25">
      <c r="H486" s="755"/>
    </row>
    <row r="487" spans="8:8" ht="15.75" customHeight="1" x14ac:dyDescent="0.25">
      <c r="H487" s="755"/>
    </row>
    <row r="488" spans="8:8" ht="15.75" customHeight="1" x14ac:dyDescent="0.25">
      <c r="H488" s="755"/>
    </row>
    <row r="489" spans="8:8" ht="15.75" customHeight="1" x14ac:dyDescent="0.25">
      <c r="H489" s="755"/>
    </row>
    <row r="490" spans="8:8" ht="15.75" customHeight="1" x14ac:dyDescent="0.25">
      <c r="H490" s="755"/>
    </row>
    <row r="491" spans="8:8" ht="15.75" customHeight="1" x14ac:dyDescent="0.25">
      <c r="H491" s="755"/>
    </row>
    <row r="492" spans="8:8" ht="15.75" customHeight="1" x14ac:dyDescent="0.25">
      <c r="H492" s="755"/>
    </row>
    <row r="493" spans="8:8" ht="15.75" customHeight="1" x14ac:dyDescent="0.25">
      <c r="H493" s="755"/>
    </row>
    <row r="494" spans="8:8" ht="15.75" customHeight="1" x14ac:dyDescent="0.25">
      <c r="H494" s="755"/>
    </row>
    <row r="495" spans="8:8" ht="15.75" customHeight="1" x14ac:dyDescent="0.25">
      <c r="H495" s="755"/>
    </row>
    <row r="496" spans="8:8" ht="15.75" customHeight="1" x14ac:dyDescent="0.25">
      <c r="H496" s="755"/>
    </row>
    <row r="497" spans="8:8" ht="15.75" customHeight="1" x14ac:dyDescent="0.25">
      <c r="H497" s="755"/>
    </row>
    <row r="498" spans="8:8" ht="15.75" customHeight="1" x14ac:dyDescent="0.25">
      <c r="H498" s="755"/>
    </row>
    <row r="499" spans="8:8" ht="15.75" customHeight="1" x14ac:dyDescent="0.25">
      <c r="H499" s="755"/>
    </row>
    <row r="500" spans="8:8" ht="15.75" customHeight="1" x14ac:dyDescent="0.25">
      <c r="H500" s="755"/>
    </row>
    <row r="501" spans="8:8" ht="15.75" customHeight="1" x14ac:dyDescent="0.25">
      <c r="H501" s="755"/>
    </row>
    <row r="502" spans="8:8" ht="15.75" customHeight="1" x14ac:dyDescent="0.25">
      <c r="H502" s="755"/>
    </row>
    <row r="503" spans="8:8" ht="15.75" customHeight="1" x14ac:dyDescent="0.25">
      <c r="H503" s="755"/>
    </row>
    <row r="504" spans="8:8" ht="15.75" customHeight="1" x14ac:dyDescent="0.25">
      <c r="H504" s="755"/>
    </row>
    <row r="505" spans="8:8" ht="15.75" customHeight="1" x14ac:dyDescent="0.25">
      <c r="H505" s="755"/>
    </row>
    <row r="506" spans="8:8" ht="15.75" customHeight="1" x14ac:dyDescent="0.25">
      <c r="H506" s="755"/>
    </row>
    <row r="507" spans="8:8" ht="15.75" customHeight="1" x14ac:dyDescent="0.25">
      <c r="H507" s="755"/>
    </row>
    <row r="508" spans="8:8" ht="15.75" customHeight="1" x14ac:dyDescent="0.25">
      <c r="H508" s="755"/>
    </row>
    <row r="509" spans="8:8" ht="15.75" customHeight="1" x14ac:dyDescent="0.25">
      <c r="H509" s="755"/>
    </row>
    <row r="510" spans="8:8" ht="15.75" customHeight="1" x14ac:dyDescent="0.25">
      <c r="H510" s="755"/>
    </row>
    <row r="511" spans="8:8" ht="15.75" customHeight="1" x14ac:dyDescent="0.25">
      <c r="H511" s="755"/>
    </row>
    <row r="512" spans="8:8" ht="15.75" customHeight="1" x14ac:dyDescent="0.25">
      <c r="H512" s="755"/>
    </row>
    <row r="513" spans="8:8" ht="15.75" customHeight="1" x14ac:dyDescent="0.25">
      <c r="H513" s="755"/>
    </row>
    <row r="514" spans="8:8" ht="15.75" customHeight="1" x14ac:dyDescent="0.25">
      <c r="H514" s="755"/>
    </row>
    <row r="515" spans="8:8" ht="15.75" customHeight="1" x14ac:dyDescent="0.25">
      <c r="H515" s="755"/>
    </row>
    <row r="516" spans="8:8" ht="15.75" customHeight="1" x14ac:dyDescent="0.25">
      <c r="H516" s="755"/>
    </row>
    <row r="517" spans="8:8" ht="15.75" customHeight="1" x14ac:dyDescent="0.25">
      <c r="H517" s="755"/>
    </row>
    <row r="518" spans="8:8" ht="15.75" customHeight="1" x14ac:dyDescent="0.25">
      <c r="H518" s="755"/>
    </row>
    <row r="519" spans="8:8" ht="15.75" customHeight="1" x14ac:dyDescent="0.25">
      <c r="H519" s="755"/>
    </row>
    <row r="520" spans="8:8" ht="15.75" customHeight="1" x14ac:dyDescent="0.25">
      <c r="H520" s="755"/>
    </row>
    <row r="521" spans="8:8" ht="15.75" customHeight="1" x14ac:dyDescent="0.25">
      <c r="H521" s="755"/>
    </row>
    <row r="522" spans="8:8" ht="15.75" customHeight="1" x14ac:dyDescent="0.25">
      <c r="H522" s="755"/>
    </row>
    <row r="523" spans="8:8" ht="15.75" customHeight="1" x14ac:dyDescent="0.25">
      <c r="H523" s="755"/>
    </row>
    <row r="524" spans="8:8" ht="15.75" customHeight="1" x14ac:dyDescent="0.25">
      <c r="H524" s="755"/>
    </row>
    <row r="525" spans="8:8" ht="15.75" customHeight="1" x14ac:dyDescent="0.25">
      <c r="H525" s="755"/>
    </row>
    <row r="526" spans="8:8" ht="15.75" customHeight="1" x14ac:dyDescent="0.25">
      <c r="H526" s="755"/>
    </row>
    <row r="527" spans="8:8" ht="15.75" customHeight="1" x14ac:dyDescent="0.25">
      <c r="H527" s="755"/>
    </row>
    <row r="528" spans="8:8" ht="15.75" customHeight="1" x14ac:dyDescent="0.25">
      <c r="H528" s="755"/>
    </row>
    <row r="529" spans="8:8" ht="15.75" customHeight="1" x14ac:dyDescent="0.25">
      <c r="H529" s="755"/>
    </row>
    <row r="530" spans="8:8" ht="15.75" customHeight="1" x14ac:dyDescent="0.25">
      <c r="H530" s="755"/>
    </row>
    <row r="531" spans="8:8" ht="15.75" customHeight="1" x14ac:dyDescent="0.25">
      <c r="H531" s="755"/>
    </row>
    <row r="532" spans="8:8" ht="15.75" customHeight="1" x14ac:dyDescent="0.25">
      <c r="H532" s="755"/>
    </row>
    <row r="533" spans="8:8" ht="15.75" customHeight="1" x14ac:dyDescent="0.25">
      <c r="H533" s="755"/>
    </row>
    <row r="534" spans="8:8" ht="15.75" customHeight="1" x14ac:dyDescent="0.25">
      <c r="H534" s="755"/>
    </row>
    <row r="535" spans="8:8" ht="15.75" customHeight="1" x14ac:dyDescent="0.25">
      <c r="H535" s="755"/>
    </row>
    <row r="536" spans="8:8" ht="15.75" customHeight="1" x14ac:dyDescent="0.25">
      <c r="H536" s="755"/>
    </row>
    <row r="537" spans="8:8" ht="15.75" customHeight="1" x14ac:dyDescent="0.25">
      <c r="H537" s="755"/>
    </row>
    <row r="538" spans="8:8" ht="15.75" customHeight="1" x14ac:dyDescent="0.25">
      <c r="H538" s="755"/>
    </row>
    <row r="539" spans="8:8" ht="15.75" customHeight="1" x14ac:dyDescent="0.25">
      <c r="H539" s="755"/>
    </row>
    <row r="540" spans="8:8" ht="15.75" customHeight="1" x14ac:dyDescent="0.25">
      <c r="H540" s="755"/>
    </row>
    <row r="541" spans="8:8" ht="15.75" customHeight="1" x14ac:dyDescent="0.25">
      <c r="H541" s="755"/>
    </row>
    <row r="542" spans="8:8" ht="15.75" customHeight="1" x14ac:dyDescent="0.25">
      <c r="H542" s="755"/>
    </row>
    <row r="543" spans="8:8" ht="15.75" customHeight="1" x14ac:dyDescent="0.25">
      <c r="H543" s="755"/>
    </row>
    <row r="544" spans="8:8" ht="15.75" customHeight="1" x14ac:dyDescent="0.25">
      <c r="H544" s="755"/>
    </row>
    <row r="545" spans="8:8" ht="15.75" customHeight="1" x14ac:dyDescent="0.25">
      <c r="H545" s="755"/>
    </row>
    <row r="546" spans="8:8" ht="15.75" customHeight="1" x14ac:dyDescent="0.25">
      <c r="H546" s="755"/>
    </row>
    <row r="547" spans="8:8" ht="15.75" customHeight="1" x14ac:dyDescent="0.25">
      <c r="H547" s="755"/>
    </row>
    <row r="548" spans="8:8" ht="15.75" customHeight="1" x14ac:dyDescent="0.25">
      <c r="H548" s="755"/>
    </row>
    <row r="549" spans="8:8" ht="15.75" customHeight="1" x14ac:dyDescent="0.25">
      <c r="H549" s="755"/>
    </row>
    <row r="550" spans="8:8" ht="15.75" customHeight="1" x14ac:dyDescent="0.25">
      <c r="H550" s="755"/>
    </row>
    <row r="551" spans="8:8" ht="15.75" customHeight="1" x14ac:dyDescent="0.25">
      <c r="H551" s="755"/>
    </row>
    <row r="552" spans="8:8" ht="15.75" customHeight="1" x14ac:dyDescent="0.25">
      <c r="H552" s="755"/>
    </row>
    <row r="553" spans="8:8" ht="15.75" customHeight="1" x14ac:dyDescent="0.25">
      <c r="H553" s="755"/>
    </row>
    <row r="554" spans="8:8" ht="15.75" customHeight="1" x14ac:dyDescent="0.25">
      <c r="H554" s="755"/>
    </row>
    <row r="555" spans="8:8" ht="15.75" customHeight="1" x14ac:dyDescent="0.25">
      <c r="H555" s="755"/>
    </row>
    <row r="556" spans="8:8" ht="15.75" customHeight="1" x14ac:dyDescent="0.25">
      <c r="H556" s="755"/>
    </row>
    <row r="557" spans="8:8" ht="15.75" customHeight="1" x14ac:dyDescent="0.25">
      <c r="H557" s="755"/>
    </row>
    <row r="558" spans="8:8" ht="15.75" customHeight="1" x14ac:dyDescent="0.25">
      <c r="H558" s="755"/>
    </row>
    <row r="559" spans="8:8" ht="15.75" customHeight="1" x14ac:dyDescent="0.25">
      <c r="H559" s="755"/>
    </row>
    <row r="560" spans="8:8" ht="15.75" customHeight="1" x14ac:dyDescent="0.25">
      <c r="H560" s="755"/>
    </row>
    <row r="561" spans="8:8" ht="15.75" customHeight="1" x14ac:dyDescent="0.25">
      <c r="H561" s="755"/>
    </row>
    <row r="562" spans="8:8" ht="15.75" customHeight="1" x14ac:dyDescent="0.25">
      <c r="H562" s="755"/>
    </row>
    <row r="563" spans="8:8" ht="15.75" customHeight="1" x14ac:dyDescent="0.25">
      <c r="H563" s="755"/>
    </row>
    <row r="564" spans="8:8" ht="15.75" customHeight="1" x14ac:dyDescent="0.25">
      <c r="H564" s="755"/>
    </row>
    <row r="565" spans="8:8" ht="15.75" customHeight="1" x14ac:dyDescent="0.25">
      <c r="H565" s="755"/>
    </row>
    <row r="566" spans="8:8" ht="15.75" customHeight="1" x14ac:dyDescent="0.25">
      <c r="H566" s="755"/>
    </row>
    <row r="567" spans="8:8" ht="15.75" customHeight="1" x14ac:dyDescent="0.25">
      <c r="H567" s="755"/>
    </row>
    <row r="568" spans="8:8" ht="15.75" customHeight="1" x14ac:dyDescent="0.25">
      <c r="H568" s="755"/>
    </row>
    <row r="569" spans="8:8" ht="15.75" customHeight="1" x14ac:dyDescent="0.25">
      <c r="H569" s="755"/>
    </row>
    <row r="570" spans="8:8" ht="15.75" customHeight="1" x14ac:dyDescent="0.25">
      <c r="H570" s="755"/>
    </row>
    <row r="571" spans="8:8" ht="15.75" customHeight="1" x14ac:dyDescent="0.25">
      <c r="H571" s="755"/>
    </row>
    <row r="572" spans="8:8" ht="15.75" customHeight="1" x14ac:dyDescent="0.25">
      <c r="H572" s="755"/>
    </row>
    <row r="573" spans="8:8" ht="15.75" customHeight="1" x14ac:dyDescent="0.25">
      <c r="H573" s="755"/>
    </row>
    <row r="574" spans="8:8" ht="15.75" customHeight="1" x14ac:dyDescent="0.25">
      <c r="H574" s="755"/>
    </row>
    <row r="575" spans="8:8" ht="15.75" customHeight="1" x14ac:dyDescent="0.25">
      <c r="H575" s="755"/>
    </row>
    <row r="576" spans="8:8" ht="15.75" customHeight="1" x14ac:dyDescent="0.25">
      <c r="H576" s="755"/>
    </row>
    <row r="577" spans="8:8" ht="15.75" customHeight="1" x14ac:dyDescent="0.25">
      <c r="H577" s="755"/>
    </row>
    <row r="578" spans="8:8" ht="15.75" customHeight="1" x14ac:dyDescent="0.25">
      <c r="H578" s="755"/>
    </row>
    <row r="579" spans="8:8" ht="15.75" customHeight="1" x14ac:dyDescent="0.25">
      <c r="H579" s="755"/>
    </row>
    <row r="580" spans="8:8" ht="15.75" customHeight="1" x14ac:dyDescent="0.25">
      <c r="H580" s="755"/>
    </row>
    <row r="581" spans="8:8" ht="15.75" customHeight="1" x14ac:dyDescent="0.25">
      <c r="H581" s="755"/>
    </row>
    <row r="582" spans="8:8" ht="15.75" customHeight="1" x14ac:dyDescent="0.25">
      <c r="H582" s="755"/>
    </row>
    <row r="583" spans="8:8" ht="15.75" customHeight="1" x14ac:dyDescent="0.25">
      <c r="H583" s="755"/>
    </row>
    <row r="584" spans="8:8" ht="15.75" customHeight="1" x14ac:dyDescent="0.25">
      <c r="H584" s="755"/>
    </row>
    <row r="585" spans="8:8" ht="15.75" customHeight="1" x14ac:dyDescent="0.25">
      <c r="H585" s="755"/>
    </row>
    <row r="586" spans="8:8" ht="15.75" customHeight="1" x14ac:dyDescent="0.25">
      <c r="H586" s="755"/>
    </row>
    <row r="587" spans="8:8" ht="15.75" customHeight="1" x14ac:dyDescent="0.25">
      <c r="H587" s="755"/>
    </row>
    <row r="588" spans="8:8" ht="15.75" customHeight="1" x14ac:dyDescent="0.25">
      <c r="H588" s="755"/>
    </row>
    <row r="589" spans="8:8" ht="15.75" customHeight="1" x14ac:dyDescent="0.25">
      <c r="H589" s="755"/>
    </row>
    <row r="590" spans="8:8" ht="15.75" customHeight="1" x14ac:dyDescent="0.25">
      <c r="H590" s="755"/>
    </row>
    <row r="591" spans="8:8" ht="15.75" customHeight="1" x14ac:dyDescent="0.25">
      <c r="H591" s="755"/>
    </row>
    <row r="592" spans="8:8" ht="15.75" customHeight="1" x14ac:dyDescent="0.25">
      <c r="H592" s="755"/>
    </row>
    <row r="593" spans="8:8" ht="15.75" customHeight="1" x14ac:dyDescent="0.25">
      <c r="H593" s="755"/>
    </row>
    <row r="594" spans="8:8" ht="15.75" customHeight="1" x14ac:dyDescent="0.25">
      <c r="H594" s="755"/>
    </row>
    <row r="595" spans="8:8" ht="15.75" customHeight="1" x14ac:dyDescent="0.25">
      <c r="H595" s="755"/>
    </row>
    <row r="596" spans="8:8" ht="15.75" customHeight="1" x14ac:dyDescent="0.25">
      <c r="H596" s="755"/>
    </row>
    <row r="597" spans="8:8" ht="15.75" customHeight="1" x14ac:dyDescent="0.25">
      <c r="H597" s="755"/>
    </row>
    <row r="598" spans="8:8" ht="15.75" customHeight="1" x14ac:dyDescent="0.25">
      <c r="H598" s="755"/>
    </row>
    <row r="599" spans="8:8" ht="15.75" customHeight="1" x14ac:dyDescent="0.25">
      <c r="H599" s="755"/>
    </row>
    <row r="600" spans="8:8" ht="15.75" customHeight="1" x14ac:dyDescent="0.25">
      <c r="H600" s="755"/>
    </row>
    <row r="601" spans="8:8" ht="15.75" customHeight="1" x14ac:dyDescent="0.25">
      <c r="H601" s="755"/>
    </row>
    <row r="602" spans="8:8" ht="15.75" customHeight="1" x14ac:dyDescent="0.25">
      <c r="H602" s="755"/>
    </row>
    <row r="603" spans="8:8" ht="15.75" customHeight="1" x14ac:dyDescent="0.25">
      <c r="H603" s="755"/>
    </row>
    <row r="604" spans="8:8" ht="15.75" customHeight="1" x14ac:dyDescent="0.25">
      <c r="H604" s="755"/>
    </row>
    <row r="605" spans="8:8" ht="15.75" customHeight="1" x14ac:dyDescent="0.25">
      <c r="H605" s="755"/>
    </row>
    <row r="606" spans="8:8" ht="15.75" customHeight="1" x14ac:dyDescent="0.25">
      <c r="H606" s="755"/>
    </row>
    <row r="607" spans="8:8" ht="15.75" customHeight="1" x14ac:dyDescent="0.25">
      <c r="H607" s="755"/>
    </row>
    <row r="608" spans="8:8" ht="15.75" customHeight="1" x14ac:dyDescent="0.25">
      <c r="H608" s="755"/>
    </row>
    <row r="609" spans="8:8" ht="15.75" customHeight="1" x14ac:dyDescent="0.25">
      <c r="H609" s="755"/>
    </row>
    <row r="610" spans="8:8" ht="15.75" customHeight="1" x14ac:dyDescent="0.25">
      <c r="H610" s="755"/>
    </row>
    <row r="611" spans="8:8" ht="15.75" customHeight="1" x14ac:dyDescent="0.25">
      <c r="H611" s="755"/>
    </row>
    <row r="612" spans="8:8" ht="15.75" customHeight="1" x14ac:dyDescent="0.25">
      <c r="H612" s="755"/>
    </row>
    <row r="613" spans="8:8" ht="15.75" customHeight="1" x14ac:dyDescent="0.25">
      <c r="H613" s="755"/>
    </row>
    <row r="614" spans="8:8" ht="15.75" customHeight="1" x14ac:dyDescent="0.25">
      <c r="H614" s="755"/>
    </row>
    <row r="615" spans="8:8" ht="15.75" customHeight="1" x14ac:dyDescent="0.25">
      <c r="H615" s="755"/>
    </row>
    <row r="616" spans="8:8" ht="15.75" customHeight="1" x14ac:dyDescent="0.25">
      <c r="H616" s="755"/>
    </row>
    <row r="617" spans="8:8" ht="15.75" customHeight="1" x14ac:dyDescent="0.25">
      <c r="H617" s="755"/>
    </row>
    <row r="618" spans="8:8" ht="15.75" customHeight="1" x14ac:dyDescent="0.25">
      <c r="H618" s="755"/>
    </row>
    <row r="619" spans="8:8" ht="15.75" customHeight="1" x14ac:dyDescent="0.25">
      <c r="H619" s="755"/>
    </row>
    <row r="620" spans="8:8" ht="15.75" customHeight="1" x14ac:dyDescent="0.25">
      <c r="H620" s="755"/>
    </row>
    <row r="621" spans="8:8" ht="15.75" customHeight="1" x14ac:dyDescent="0.25">
      <c r="H621" s="755"/>
    </row>
    <row r="622" spans="8:8" ht="15.75" customHeight="1" x14ac:dyDescent="0.25">
      <c r="H622" s="755"/>
    </row>
    <row r="623" spans="8:8" ht="15.75" customHeight="1" x14ac:dyDescent="0.25">
      <c r="H623" s="755"/>
    </row>
    <row r="624" spans="8:8" ht="15.75" customHeight="1" x14ac:dyDescent="0.25">
      <c r="H624" s="755"/>
    </row>
    <row r="625" spans="8:8" ht="15.75" customHeight="1" x14ac:dyDescent="0.25">
      <c r="H625" s="755"/>
    </row>
    <row r="626" spans="8:8" ht="15.75" customHeight="1" x14ac:dyDescent="0.25">
      <c r="H626" s="755"/>
    </row>
    <row r="627" spans="8:8" ht="15.75" customHeight="1" x14ac:dyDescent="0.25">
      <c r="H627" s="755"/>
    </row>
    <row r="628" spans="8:8" ht="15.75" customHeight="1" x14ac:dyDescent="0.25">
      <c r="H628" s="755"/>
    </row>
    <row r="629" spans="8:8" ht="15.75" customHeight="1" x14ac:dyDescent="0.25">
      <c r="H629" s="755"/>
    </row>
    <row r="630" spans="8:8" ht="15.75" customHeight="1" x14ac:dyDescent="0.25">
      <c r="H630" s="755"/>
    </row>
    <row r="631" spans="8:8" ht="15.75" customHeight="1" x14ac:dyDescent="0.25">
      <c r="H631" s="755"/>
    </row>
    <row r="632" spans="8:8" ht="15.75" customHeight="1" x14ac:dyDescent="0.25">
      <c r="H632" s="755"/>
    </row>
    <row r="633" spans="8:8" ht="15.75" customHeight="1" x14ac:dyDescent="0.25">
      <c r="H633" s="755"/>
    </row>
    <row r="634" spans="8:8" ht="15.75" customHeight="1" x14ac:dyDescent="0.25">
      <c r="H634" s="755"/>
    </row>
    <row r="635" spans="8:8" ht="15.75" customHeight="1" x14ac:dyDescent="0.25">
      <c r="H635" s="755"/>
    </row>
    <row r="636" spans="8:8" ht="15.75" customHeight="1" x14ac:dyDescent="0.25">
      <c r="H636" s="755"/>
    </row>
    <row r="637" spans="8:8" ht="15.75" customHeight="1" x14ac:dyDescent="0.25">
      <c r="H637" s="755"/>
    </row>
    <row r="638" spans="8:8" ht="15.75" customHeight="1" x14ac:dyDescent="0.25">
      <c r="H638" s="755"/>
    </row>
    <row r="639" spans="8:8" ht="15.75" customHeight="1" x14ac:dyDescent="0.25">
      <c r="H639" s="755"/>
    </row>
    <row r="640" spans="8:8" ht="15.75" customHeight="1" x14ac:dyDescent="0.25">
      <c r="H640" s="755"/>
    </row>
    <row r="641" spans="8:8" ht="15.75" customHeight="1" x14ac:dyDescent="0.25">
      <c r="H641" s="755"/>
    </row>
    <row r="642" spans="8:8" ht="15.75" customHeight="1" x14ac:dyDescent="0.25">
      <c r="H642" s="755"/>
    </row>
    <row r="643" spans="8:8" ht="15.75" customHeight="1" x14ac:dyDescent="0.25">
      <c r="H643" s="755"/>
    </row>
    <row r="644" spans="8:8" ht="15.75" customHeight="1" x14ac:dyDescent="0.25">
      <c r="H644" s="755"/>
    </row>
    <row r="645" spans="8:8" ht="15.75" customHeight="1" x14ac:dyDescent="0.25">
      <c r="H645" s="755"/>
    </row>
    <row r="646" spans="8:8" ht="15.75" customHeight="1" x14ac:dyDescent="0.25">
      <c r="H646" s="755"/>
    </row>
    <row r="647" spans="8:8" ht="15.75" customHeight="1" x14ac:dyDescent="0.25">
      <c r="H647" s="755"/>
    </row>
    <row r="648" spans="8:8" ht="15.75" customHeight="1" x14ac:dyDescent="0.25">
      <c r="H648" s="755"/>
    </row>
    <row r="649" spans="8:8" ht="15.75" customHeight="1" x14ac:dyDescent="0.25">
      <c r="H649" s="755"/>
    </row>
    <row r="650" spans="8:8" ht="15.75" customHeight="1" x14ac:dyDescent="0.25">
      <c r="H650" s="755"/>
    </row>
    <row r="651" spans="8:8" ht="15.75" customHeight="1" x14ac:dyDescent="0.25">
      <c r="H651" s="755"/>
    </row>
    <row r="652" spans="8:8" ht="15.75" customHeight="1" x14ac:dyDescent="0.25">
      <c r="H652" s="755"/>
    </row>
    <row r="653" spans="8:8" ht="15.75" customHeight="1" x14ac:dyDescent="0.25">
      <c r="H653" s="755"/>
    </row>
    <row r="654" spans="8:8" ht="15.75" customHeight="1" x14ac:dyDescent="0.25">
      <c r="H654" s="755"/>
    </row>
    <row r="655" spans="8:8" ht="15.75" customHeight="1" x14ac:dyDescent="0.25">
      <c r="H655" s="755"/>
    </row>
    <row r="656" spans="8:8" ht="15.75" customHeight="1" x14ac:dyDescent="0.25">
      <c r="H656" s="755"/>
    </row>
    <row r="657" spans="8:8" ht="15.75" customHeight="1" x14ac:dyDescent="0.25">
      <c r="H657" s="755"/>
    </row>
    <row r="658" spans="8:8" ht="15.75" customHeight="1" x14ac:dyDescent="0.25">
      <c r="H658" s="755"/>
    </row>
    <row r="659" spans="8:8" ht="15.75" customHeight="1" x14ac:dyDescent="0.25">
      <c r="H659" s="755"/>
    </row>
    <row r="660" spans="8:8" ht="15.75" customHeight="1" x14ac:dyDescent="0.25">
      <c r="H660" s="755"/>
    </row>
    <row r="661" spans="8:8" ht="15.75" customHeight="1" x14ac:dyDescent="0.25">
      <c r="H661" s="755"/>
    </row>
    <row r="662" spans="8:8" ht="15.75" customHeight="1" x14ac:dyDescent="0.25">
      <c r="H662" s="755"/>
    </row>
    <row r="663" spans="8:8" ht="15.75" customHeight="1" x14ac:dyDescent="0.25">
      <c r="H663" s="755"/>
    </row>
    <row r="664" spans="8:8" ht="15.75" customHeight="1" x14ac:dyDescent="0.25">
      <c r="H664" s="755"/>
    </row>
    <row r="665" spans="8:8" ht="15.75" customHeight="1" x14ac:dyDescent="0.25">
      <c r="H665" s="755"/>
    </row>
    <row r="666" spans="8:8" ht="15.75" customHeight="1" x14ac:dyDescent="0.25">
      <c r="H666" s="755"/>
    </row>
    <row r="667" spans="8:8" ht="15.75" customHeight="1" x14ac:dyDescent="0.25">
      <c r="H667" s="755"/>
    </row>
    <row r="668" spans="8:8" ht="15.75" customHeight="1" x14ac:dyDescent="0.25">
      <c r="H668" s="755"/>
    </row>
    <row r="669" spans="8:8" ht="15.75" customHeight="1" x14ac:dyDescent="0.25">
      <c r="H669" s="755"/>
    </row>
    <row r="670" spans="8:8" ht="15.75" customHeight="1" x14ac:dyDescent="0.25">
      <c r="H670" s="755"/>
    </row>
    <row r="671" spans="8:8" ht="15.75" customHeight="1" x14ac:dyDescent="0.25">
      <c r="H671" s="755"/>
    </row>
    <row r="672" spans="8:8" ht="15.75" customHeight="1" x14ac:dyDescent="0.25">
      <c r="H672" s="755"/>
    </row>
    <row r="673" spans="8:8" ht="15.75" customHeight="1" x14ac:dyDescent="0.25">
      <c r="H673" s="755"/>
    </row>
    <row r="674" spans="8:8" ht="15.75" customHeight="1" x14ac:dyDescent="0.25">
      <c r="H674" s="755"/>
    </row>
    <row r="675" spans="8:8" ht="15.75" customHeight="1" x14ac:dyDescent="0.25">
      <c r="H675" s="755"/>
    </row>
    <row r="676" spans="8:8" ht="15.75" customHeight="1" x14ac:dyDescent="0.25">
      <c r="H676" s="755"/>
    </row>
    <row r="677" spans="8:8" ht="15.75" customHeight="1" x14ac:dyDescent="0.25">
      <c r="H677" s="755"/>
    </row>
    <row r="678" spans="8:8" ht="15.75" customHeight="1" x14ac:dyDescent="0.25">
      <c r="H678" s="755"/>
    </row>
    <row r="679" spans="8:8" ht="15.75" customHeight="1" x14ac:dyDescent="0.25">
      <c r="H679" s="755"/>
    </row>
    <row r="680" spans="8:8" ht="15.75" customHeight="1" x14ac:dyDescent="0.25">
      <c r="H680" s="755"/>
    </row>
    <row r="681" spans="8:8" ht="15.75" customHeight="1" x14ac:dyDescent="0.25">
      <c r="H681" s="755"/>
    </row>
    <row r="682" spans="8:8" ht="15.75" customHeight="1" x14ac:dyDescent="0.25">
      <c r="H682" s="755"/>
    </row>
    <row r="683" spans="8:8" ht="15.75" customHeight="1" x14ac:dyDescent="0.25">
      <c r="H683" s="755"/>
    </row>
    <row r="684" spans="8:8" ht="15.75" customHeight="1" x14ac:dyDescent="0.25">
      <c r="H684" s="755"/>
    </row>
    <row r="685" spans="8:8" ht="15.75" customHeight="1" x14ac:dyDescent="0.25">
      <c r="H685" s="755"/>
    </row>
    <row r="686" spans="8:8" ht="15.75" customHeight="1" x14ac:dyDescent="0.25">
      <c r="H686" s="755"/>
    </row>
    <row r="687" spans="8:8" ht="15.75" customHeight="1" x14ac:dyDescent="0.25">
      <c r="H687" s="755"/>
    </row>
    <row r="688" spans="8:8" ht="15.75" customHeight="1" x14ac:dyDescent="0.25">
      <c r="H688" s="755"/>
    </row>
    <row r="689" spans="8:8" ht="15.75" customHeight="1" x14ac:dyDescent="0.25">
      <c r="H689" s="755"/>
    </row>
    <row r="690" spans="8:8" ht="15.75" customHeight="1" x14ac:dyDescent="0.25">
      <c r="H690" s="755"/>
    </row>
    <row r="691" spans="8:8" ht="15.75" customHeight="1" x14ac:dyDescent="0.25">
      <c r="H691" s="755"/>
    </row>
    <row r="692" spans="8:8" ht="15.75" customHeight="1" x14ac:dyDescent="0.25">
      <c r="H692" s="755"/>
    </row>
    <row r="693" spans="8:8" ht="15.75" customHeight="1" x14ac:dyDescent="0.25">
      <c r="H693" s="755"/>
    </row>
    <row r="694" spans="8:8" ht="15.75" customHeight="1" x14ac:dyDescent="0.25">
      <c r="H694" s="755"/>
    </row>
    <row r="695" spans="8:8" ht="15.75" customHeight="1" x14ac:dyDescent="0.25">
      <c r="H695" s="755"/>
    </row>
    <row r="696" spans="8:8" ht="15.75" customHeight="1" x14ac:dyDescent="0.25">
      <c r="H696" s="755"/>
    </row>
    <row r="697" spans="8:8" ht="15.75" customHeight="1" x14ac:dyDescent="0.25">
      <c r="H697" s="755"/>
    </row>
    <row r="698" spans="8:8" ht="15.75" customHeight="1" x14ac:dyDescent="0.25">
      <c r="H698" s="755"/>
    </row>
    <row r="699" spans="8:8" ht="15.75" customHeight="1" x14ac:dyDescent="0.25">
      <c r="H699" s="755"/>
    </row>
    <row r="700" spans="8:8" ht="15.75" customHeight="1" x14ac:dyDescent="0.25">
      <c r="H700" s="755"/>
    </row>
    <row r="701" spans="8:8" ht="15.75" customHeight="1" x14ac:dyDescent="0.25">
      <c r="H701" s="755"/>
    </row>
    <row r="702" spans="8:8" ht="15.75" customHeight="1" x14ac:dyDescent="0.25">
      <c r="H702" s="755"/>
    </row>
    <row r="703" spans="8:8" ht="15.75" customHeight="1" x14ac:dyDescent="0.25">
      <c r="H703" s="755"/>
    </row>
    <row r="704" spans="8:8" ht="15.75" customHeight="1" x14ac:dyDescent="0.25">
      <c r="H704" s="755"/>
    </row>
    <row r="705" spans="8:8" ht="15.75" customHeight="1" x14ac:dyDescent="0.25">
      <c r="H705" s="755"/>
    </row>
    <row r="706" spans="8:8" ht="15.75" customHeight="1" x14ac:dyDescent="0.25">
      <c r="H706" s="755"/>
    </row>
    <row r="707" spans="8:8" ht="15.75" customHeight="1" x14ac:dyDescent="0.25">
      <c r="H707" s="755"/>
    </row>
    <row r="708" spans="8:8" ht="15.75" customHeight="1" x14ac:dyDescent="0.25">
      <c r="H708" s="755"/>
    </row>
    <row r="709" spans="8:8" ht="15.75" customHeight="1" x14ac:dyDescent="0.25">
      <c r="H709" s="755"/>
    </row>
    <row r="710" spans="8:8" ht="15.75" customHeight="1" x14ac:dyDescent="0.25">
      <c r="H710" s="755"/>
    </row>
    <row r="711" spans="8:8" ht="15.75" customHeight="1" x14ac:dyDescent="0.25">
      <c r="H711" s="755"/>
    </row>
    <row r="712" spans="8:8" ht="15.75" customHeight="1" x14ac:dyDescent="0.25">
      <c r="H712" s="755"/>
    </row>
    <row r="713" spans="8:8" ht="15.75" customHeight="1" x14ac:dyDescent="0.25">
      <c r="H713" s="755"/>
    </row>
    <row r="714" spans="8:8" ht="15.75" customHeight="1" x14ac:dyDescent="0.25">
      <c r="H714" s="755"/>
    </row>
    <row r="715" spans="8:8" ht="15.75" customHeight="1" x14ac:dyDescent="0.25">
      <c r="H715" s="755"/>
    </row>
    <row r="716" spans="8:8" ht="15.75" customHeight="1" x14ac:dyDescent="0.25">
      <c r="H716" s="755"/>
    </row>
    <row r="717" spans="8:8" ht="15.75" customHeight="1" x14ac:dyDescent="0.25">
      <c r="H717" s="755"/>
    </row>
    <row r="718" spans="8:8" ht="15.75" customHeight="1" x14ac:dyDescent="0.25">
      <c r="H718" s="755"/>
    </row>
    <row r="719" spans="8:8" ht="15.75" customHeight="1" x14ac:dyDescent="0.25">
      <c r="H719" s="755"/>
    </row>
    <row r="720" spans="8:8" ht="15.75" customHeight="1" x14ac:dyDescent="0.25">
      <c r="H720" s="755"/>
    </row>
    <row r="721" spans="8:8" ht="15.75" customHeight="1" x14ac:dyDescent="0.25">
      <c r="H721" s="755"/>
    </row>
    <row r="722" spans="8:8" ht="15.75" customHeight="1" x14ac:dyDescent="0.25">
      <c r="H722" s="755"/>
    </row>
    <row r="723" spans="8:8" ht="15.75" customHeight="1" x14ac:dyDescent="0.25">
      <c r="H723" s="755"/>
    </row>
    <row r="724" spans="8:8" ht="15.75" customHeight="1" x14ac:dyDescent="0.25">
      <c r="H724" s="755"/>
    </row>
    <row r="725" spans="8:8" ht="15.75" customHeight="1" x14ac:dyDescent="0.25">
      <c r="H725" s="755"/>
    </row>
    <row r="726" spans="8:8" ht="15.75" customHeight="1" x14ac:dyDescent="0.25">
      <c r="H726" s="755"/>
    </row>
    <row r="727" spans="8:8" ht="15.75" customHeight="1" x14ac:dyDescent="0.25">
      <c r="H727" s="755"/>
    </row>
    <row r="728" spans="8:8" ht="15.75" customHeight="1" x14ac:dyDescent="0.25">
      <c r="H728" s="755"/>
    </row>
    <row r="729" spans="8:8" ht="15.75" customHeight="1" x14ac:dyDescent="0.25">
      <c r="H729" s="755"/>
    </row>
    <row r="730" spans="8:8" ht="15.75" customHeight="1" x14ac:dyDescent="0.25">
      <c r="H730" s="755"/>
    </row>
    <row r="731" spans="8:8" ht="15.75" customHeight="1" x14ac:dyDescent="0.25">
      <c r="H731" s="755"/>
    </row>
    <row r="732" spans="8:8" ht="15.75" customHeight="1" x14ac:dyDescent="0.25">
      <c r="H732" s="755"/>
    </row>
    <row r="733" spans="8:8" ht="15.75" customHeight="1" x14ac:dyDescent="0.25">
      <c r="H733" s="755"/>
    </row>
    <row r="734" spans="8:8" ht="15.75" customHeight="1" x14ac:dyDescent="0.25">
      <c r="H734" s="755"/>
    </row>
    <row r="735" spans="8:8" ht="15.75" customHeight="1" x14ac:dyDescent="0.25">
      <c r="H735" s="755"/>
    </row>
    <row r="736" spans="8:8" ht="15.75" customHeight="1" x14ac:dyDescent="0.25">
      <c r="H736" s="755"/>
    </row>
    <row r="737" spans="8:8" ht="15.75" customHeight="1" x14ac:dyDescent="0.25">
      <c r="H737" s="755"/>
    </row>
    <row r="738" spans="8:8" ht="15.75" customHeight="1" x14ac:dyDescent="0.25">
      <c r="H738" s="755"/>
    </row>
    <row r="739" spans="8:8" ht="15.75" customHeight="1" x14ac:dyDescent="0.25">
      <c r="H739" s="755"/>
    </row>
    <row r="740" spans="8:8" ht="15.75" customHeight="1" x14ac:dyDescent="0.25">
      <c r="H740" s="755"/>
    </row>
    <row r="741" spans="8:8" ht="15.75" customHeight="1" x14ac:dyDescent="0.25">
      <c r="H741" s="755"/>
    </row>
    <row r="742" spans="8:8" ht="15.75" customHeight="1" x14ac:dyDescent="0.25">
      <c r="H742" s="755"/>
    </row>
    <row r="743" spans="8:8" ht="15.75" customHeight="1" x14ac:dyDescent="0.25">
      <c r="H743" s="755"/>
    </row>
    <row r="744" spans="8:8" ht="15.75" customHeight="1" x14ac:dyDescent="0.25">
      <c r="H744" s="755"/>
    </row>
    <row r="745" spans="8:8" ht="15.75" customHeight="1" x14ac:dyDescent="0.25">
      <c r="H745" s="755"/>
    </row>
    <row r="746" spans="8:8" ht="15.75" customHeight="1" x14ac:dyDescent="0.25">
      <c r="H746" s="755"/>
    </row>
    <row r="747" spans="8:8" ht="15.75" customHeight="1" x14ac:dyDescent="0.25">
      <c r="H747" s="755"/>
    </row>
    <row r="748" spans="8:8" ht="15.75" customHeight="1" x14ac:dyDescent="0.25">
      <c r="H748" s="755"/>
    </row>
    <row r="749" spans="8:8" ht="15.75" customHeight="1" x14ac:dyDescent="0.25">
      <c r="H749" s="755"/>
    </row>
    <row r="750" spans="8:8" ht="15.75" customHeight="1" x14ac:dyDescent="0.25">
      <c r="H750" s="755"/>
    </row>
    <row r="751" spans="8:8" ht="15.75" customHeight="1" x14ac:dyDescent="0.25">
      <c r="H751" s="755"/>
    </row>
    <row r="752" spans="8:8" ht="15.75" customHeight="1" x14ac:dyDescent="0.25">
      <c r="H752" s="755"/>
    </row>
    <row r="753" spans="8:8" ht="15.75" customHeight="1" x14ac:dyDescent="0.25">
      <c r="H753" s="755"/>
    </row>
    <row r="754" spans="8:8" ht="15.75" customHeight="1" x14ac:dyDescent="0.25">
      <c r="H754" s="755"/>
    </row>
    <row r="755" spans="8:8" ht="15.75" customHeight="1" x14ac:dyDescent="0.25">
      <c r="H755" s="755"/>
    </row>
    <row r="756" spans="8:8" ht="15.75" customHeight="1" x14ac:dyDescent="0.25">
      <c r="H756" s="755"/>
    </row>
    <row r="757" spans="8:8" ht="15.75" customHeight="1" x14ac:dyDescent="0.25">
      <c r="H757" s="755"/>
    </row>
    <row r="758" spans="8:8" ht="15.75" customHeight="1" x14ac:dyDescent="0.25">
      <c r="H758" s="755"/>
    </row>
    <row r="759" spans="8:8" ht="15.75" customHeight="1" x14ac:dyDescent="0.25">
      <c r="H759" s="755"/>
    </row>
    <row r="760" spans="8:8" ht="15.75" customHeight="1" x14ac:dyDescent="0.25">
      <c r="H760" s="755"/>
    </row>
    <row r="761" spans="8:8" ht="15.75" customHeight="1" x14ac:dyDescent="0.25">
      <c r="H761" s="755"/>
    </row>
    <row r="762" spans="8:8" ht="15.75" customHeight="1" x14ac:dyDescent="0.25">
      <c r="H762" s="755"/>
    </row>
    <row r="763" spans="8:8" ht="15.75" customHeight="1" x14ac:dyDescent="0.25">
      <c r="H763" s="755"/>
    </row>
    <row r="764" spans="8:8" ht="15.75" customHeight="1" x14ac:dyDescent="0.25">
      <c r="H764" s="755"/>
    </row>
    <row r="765" spans="8:8" ht="15.75" customHeight="1" x14ac:dyDescent="0.25">
      <c r="H765" s="755"/>
    </row>
    <row r="766" spans="8:8" ht="15.75" customHeight="1" x14ac:dyDescent="0.25">
      <c r="H766" s="755"/>
    </row>
    <row r="767" spans="8:8" ht="15.75" customHeight="1" x14ac:dyDescent="0.25">
      <c r="H767" s="755"/>
    </row>
    <row r="768" spans="8:8" ht="15.75" customHeight="1" x14ac:dyDescent="0.25">
      <c r="H768" s="755"/>
    </row>
    <row r="769" spans="8:8" ht="15.75" customHeight="1" x14ac:dyDescent="0.25">
      <c r="H769" s="755"/>
    </row>
    <row r="770" spans="8:8" ht="15.75" customHeight="1" x14ac:dyDescent="0.25">
      <c r="H770" s="755"/>
    </row>
    <row r="771" spans="8:8" ht="15.75" customHeight="1" x14ac:dyDescent="0.25">
      <c r="H771" s="755"/>
    </row>
    <row r="772" spans="8:8" ht="15.75" customHeight="1" x14ac:dyDescent="0.25">
      <c r="H772" s="755"/>
    </row>
    <row r="773" spans="8:8" ht="15.75" customHeight="1" x14ac:dyDescent="0.25">
      <c r="H773" s="755"/>
    </row>
    <row r="774" spans="8:8" ht="15.75" customHeight="1" x14ac:dyDescent="0.25">
      <c r="H774" s="755"/>
    </row>
    <row r="775" spans="8:8" ht="15.75" customHeight="1" x14ac:dyDescent="0.25">
      <c r="H775" s="755"/>
    </row>
    <row r="776" spans="8:8" ht="15.75" customHeight="1" x14ac:dyDescent="0.25">
      <c r="H776" s="755"/>
    </row>
    <row r="777" spans="8:8" ht="15.75" customHeight="1" x14ac:dyDescent="0.25">
      <c r="H777" s="755"/>
    </row>
    <row r="778" spans="8:8" ht="15.75" customHeight="1" x14ac:dyDescent="0.25">
      <c r="H778" s="755"/>
    </row>
    <row r="779" spans="8:8" ht="15.75" customHeight="1" x14ac:dyDescent="0.25">
      <c r="H779" s="755"/>
    </row>
    <row r="780" spans="8:8" ht="15.75" customHeight="1" x14ac:dyDescent="0.25">
      <c r="H780" s="755"/>
    </row>
    <row r="781" spans="8:8" ht="15.75" customHeight="1" x14ac:dyDescent="0.25">
      <c r="H781" s="755"/>
    </row>
    <row r="782" spans="8:8" ht="15.75" customHeight="1" x14ac:dyDescent="0.25">
      <c r="H782" s="755"/>
    </row>
    <row r="783" spans="8:8" ht="15.75" customHeight="1" x14ac:dyDescent="0.25">
      <c r="H783" s="755"/>
    </row>
    <row r="784" spans="8:8" ht="15.75" customHeight="1" x14ac:dyDescent="0.25">
      <c r="H784" s="755"/>
    </row>
    <row r="785" spans="8:8" ht="15.75" customHeight="1" x14ac:dyDescent="0.25">
      <c r="H785" s="755"/>
    </row>
    <row r="786" spans="8:8" ht="15.75" customHeight="1" x14ac:dyDescent="0.25">
      <c r="H786" s="755"/>
    </row>
    <row r="787" spans="8:8" ht="15.75" customHeight="1" x14ac:dyDescent="0.25">
      <c r="H787" s="755"/>
    </row>
    <row r="788" spans="8:8" ht="15.75" customHeight="1" x14ac:dyDescent="0.25">
      <c r="H788" s="755"/>
    </row>
    <row r="789" spans="8:8" ht="15.75" customHeight="1" x14ac:dyDescent="0.25">
      <c r="H789" s="755"/>
    </row>
    <row r="790" spans="8:8" ht="15.75" customHeight="1" x14ac:dyDescent="0.25">
      <c r="H790" s="755"/>
    </row>
    <row r="791" spans="8:8" ht="15.75" customHeight="1" x14ac:dyDescent="0.25">
      <c r="H791" s="755"/>
    </row>
    <row r="792" spans="8:8" ht="15.75" customHeight="1" x14ac:dyDescent="0.25">
      <c r="H792" s="755"/>
    </row>
    <row r="793" spans="8:8" ht="15.75" customHeight="1" x14ac:dyDescent="0.25">
      <c r="H793" s="755"/>
    </row>
    <row r="794" spans="8:8" ht="15.75" customHeight="1" x14ac:dyDescent="0.25">
      <c r="H794" s="755"/>
    </row>
    <row r="795" spans="8:8" ht="15.75" customHeight="1" x14ac:dyDescent="0.25">
      <c r="H795" s="755"/>
    </row>
    <row r="796" spans="8:8" ht="15.75" customHeight="1" x14ac:dyDescent="0.25">
      <c r="H796" s="755"/>
    </row>
    <row r="797" spans="8:8" ht="15.75" customHeight="1" x14ac:dyDescent="0.25">
      <c r="H797" s="755"/>
    </row>
    <row r="798" spans="8:8" ht="15.75" customHeight="1" x14ac:dyDescent="0.25">
      <c r="H798" s="755"/>
    </row>
    <row r="799" spans="8:8" ht="15.75" customHeight="1" x14ac:dyDescent="0.25">
      <c r="H799" s="755"/>
    </row>
    <row r="800" spans="8:8" ht="15.75" customHeight="1" x14ac:dyDescent="0.25">
      <c r="H800" s="755"/>
    </row>
    <row r="801" spans="8:8" ht="15.75" customHeight="1" x14ac:dyDescent="0.25">
      <c r="H801" s="755"/>
    </row>
    <row r="802" spans="8:8" ht="15.75" customHeight="1" x14ac:dyDescent="0.25">
      <c r="H802" s="755"/>
    </row>
    <row r="803" spans="8:8" ht="15.75" customHeight="1" x14ac:dyDescent="0.25">
      <c r="H803" s="755"/>
    </row>
    <row r="804" spans="8:8" ht="15.75" customHeight="1" x14ac:dyDescent="0.25">
      <c r="H804" s="755"/>
    </row>
    <row r="805" spans="8:8" ht="15.75" customHeight="1" x14ac:dyDescent="0.25">
      <c r="H805" s="755"/>
    </row>
    <row r="806" spans="8:8" ht="15.75" customHeight="1" x14ac:dyDescent="0.25">
      <c r="H806" s="755"/>
    </row>
    <row r="807" spans="8:8" ht="15.75" customHeight="1" x14ac:dyDescent="0.25">
      <c r="H807" s="755"/>
    </row>
    <row r="808" spans="8:8" ht="15.75" customHeight="1" x14ac:dyDescent="0.25">
      <c r="H808" s="755"/>
    </row>
    <row r="809" spans="8:8" ht="15.75" customHeight="1" x14ac:dyDescent="0.25">
      <c r="H809" s="755"/>
    </row>
    <row r="810" spans="8:8" ht="15.75" customHeight="1" x14ac:dyDescent="0.25">
      <c r="H810" s="755"/>
    </row>
    <row r="811" spans="8:8" ht="15.75" customHeight="1" x14ac:dyDescent="0.25">
      <c r="H811" s="755"/>
    </row>
    <row r="812" spans="8:8" ht="15.75" customHeight="1" x14ac:dyDescent="0.25">
      <c r="H812" s="755"/>
    </row>
    <row r="813" spans="8:8" ht="15.75" customHeight="1" x14ac:dyDescent="0.25">
      <c r="H813" s="755"/>
    </row>
    <row r="814" spans="8:8" ht="15.75" customHeight="1" x14ac:dyDescent="0.25">
      <c r="H814" s="755"/>
    </row>
    <row r="815" spans="8:8" ht="15.75" customHeight="1" x14ac:dyDescent="0.25">
      <c r="H815" s="755"/>
    </row>
    <row r="816" spans="8:8" ht="15.75" customHeight="1" x14ac:dyDescent="0.25">
      <c r="H816" s="755"/>
    </row>
    <row r="817" spans="8:8" ht="15.75" customHeight="1" x14ac:dyDescent="0.25">
      <c r="H817" s="755"/>
    </row>
    <row r="818" spans="8:8" ht="15.75" customHeight="1" x14ac:dyDescent="0.25">
      <c r="H818" s="755"/>
    </row>
    <row r="819" spans="8:8" ht="15.75" customHeight="1" x14ac:dyDescent="0.25">
      <c r="H819" s="755"/>
    </row>
    <row r="820" spans="8:8" ht="15.75" customHeight="1" x14ac:dyDescent="0.25">
      <c r="H820" s="755"/>
    </row>
    <row r="821" spans="8:8" ht="15.75" customHeight="1" x14ac:dyDescent="0.25">
      <c r="H821" s="755"/>
    </row>
    <row r="822" spans="8:8" ht="15.75" customHeight="1" x14ac:dyDescent="0.25">
      <c r="H822" s="755"/>
    </row>
    <row r="823" spans="8:8" ht="15.75" customHeight="1" x14ac:dyDescent="0.25">
      <c r="H823" s="755"/>
    </row>
    <row r="824" spans="8:8" ht="15.75" customHeight="1" x14ac:dyDescent="0.25">
      <c r="H824" s="755"/>
    </row>
    <row r="825" spans="8:8" ht="15.75" customHeight="1" x14ac:dyDescent="0.25">
      <c r="H825" s="755"/>
    </row>
    <row r="826" spans="8:8" ht="15.75" customHeight="1" x14ac:dyDescent="0.25">
      <c r="H826" s="755"/>
    </row>
    <row r="827" spans="8:8" ht="15.75" customHeight="1" x14ac:dyDescent="0.25">
      <c r="H827" s="755"/>
    </row>
    <row r="828" spans="8:8" ht="15.75" customHeight="1" x14ac:dyDescent="0.25">
      <c r="H828" s="755"/>
    </row>
    <row r="829" spans="8:8" ht="15.75" customHeight="1" x14ac:dyDescent="0.25">
      <c r="H829" s="755"/>
    </row>
    <row r="830" spans="8:8" ht="15.75" customHeight="1" x14ac:dyDescent="0.25">
      <c r="H830" s="755"/>
    </row>
    <row r="831" spans="8:8" ht="15.75" customHeight="1" x14ac:dyDescent="0.25">
      <c r="H831" s="755"/>
    </row>
    <row r="832" spans="8:8" ht="15.75" customHeight="1" x14ac:dyDescent="0.25">
      <c r="H832" s="755"/>
    </row>
    <row r="833" spans="8:8" ht="15.75" customHeight="1" x14ac:dyDescent="0.25">
      <c r="H833" s="755"/>
    </row>
    <row r="834" spans="8:8" ht="15.75" customHeight="1" x14ac:dyDescent="0.25">
      <c r="H834" s="755"/>
    </row>
    <row r="835" spans="8:8" ht="15.75" customHeight="1" x14ac:dyDescent="0.25">
      <c r="H835" s="755"/>
    </row>
    <row r="836" spans="8:8" ht="15.75" customHeight="1" x14ac:dyDescent="0.25">
      <c r="H836" s="755"/>
    </row>
    <row r="837" spans="8:8" ht="15.75" customHeight="1" x14ac:dyDescent="0.25">
      <c r="H837" s="755"/>
    </row>
    <row r="838" spans="8:8" ht="15.75" customHeight="1" x14ac:dyDescent="0.25">
      <c r="H838" s="755"/>
    </row>
    <row r="839" spans="8:8" ht="15.75" customHeight="1" x14ac:dyDescent="0.25">
      <c r="H839" s="755"/>
    </row>
    <row r="840" spans="8:8" ht="15.75" customHeight="1" x14ac:dyDescent="0.25">
      <c r="H840" s="755"/>
    </row>
    <row r="841" spans="8:8" ht="15.75" customHeight="1" x14ac:dyDescent="0.25">
      <c r="H841" s="755"/>
    </row>
    <row r="842" spans="8:8" ht="15.75" customHeight="1" x14ac:dyDescent="0.25">
      <c r="H842" s="755"/>
    </row>
    <row r="843" spans="8:8" ht="15.75" customHeight="1" x14ac:dyDescent="0.25">
      <c r="H843" s="755"/>
    </row>
    <row r="844" spans="8:8" ht="15.75" customHeight="1" x14ac:dyDescent="0.25">
      <c r="H844" s="755"/>
    </row>
    <row r="845" spans="8:8" ht="15.75" customHeight="1" x14ac:dyDescent="0.25">
      <c r="H845" s="755"/>
    </row>
    <row r="846" spans="8:8" ht="15.75" customHeight="1" x14ac:dyDescent="0.25"/>
    <row r="847" spans="8:8" ht="15.75" customHeight="1" x14ac:dyDescent="0.25"/>
    <row r="848" spans="8: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autoFilter ref="B6:H18" xr:uid="{838265BE-EE26-4E36-84FB-FA541079DCFD}"/>
  <mergeCells count="3">
    <mergeCell ref="B2:H2"/>
    <mergeCell ref="B4:H4"/>
    <mergeCell ref="B5:F5"/>
  </mergeCells>
  <printOptions horizontalCentered="1"/>
  <pageMargins left="0.39370078740157483" right="0.39370078740157483" top="0.98425196850393704" bottom="0.98425196850393704" header="0.98425196850393704" footer="0.98425196850393704"/>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568CA-2C58-4E4E-A6F0-F83E053CB84D}">
  <sheetPr codeName="Hoja1"/>
  <dimension ref="A4:N53"/>
  <sheetViews>
    <sheetView zoomScaleNormal="100" workbookViewId="0">
      <selection activeCell="K18" sqref="K18"/>
    </sheetView>
  </sheetViews>
  <sheetFormatPr baseColWidth="10" defaultColWidth="11.42578125" defaultRowHeight="15" x14ac:dyDescent="0.25"/>
  <cols>
    <col min="1" max="1" width="9" customWidth="1"/>
    <col min="6" max="6" width="12.42578125" style="691" customWidth="1"/>
    <col min="7" max="7" width="14.140625" style="336" customWidth="1"/>
    <col min="8" max="8" width="14.140625" style="691" bestFit="1" customWidth="1"/>
    <col min="9" max="9" width="19.140625" customWidth="1"/>
    <col min="10" max="10" width="14.5703125" customWidth="1"/>
    <col min="11" max="11" width="15.140625" customWidth="1"/>
    <col min="12" max="12" width="15.5703125" customWidth="1"/>
    <col min="13" max="13" width="14.5703125" customWidth="1"/>
    <col min="14" max="14" width="13.85546875" customWidth="1"/>
  </cols>
  <sheetData>
    <row r="4" spans="1:12" x14ac:dyDescent="0.25">
      <c r="J4" s="2"/>
    </row>
    <row r="5" spans="1:12" x14ac:dyDescent="0.25">
      <c r="J5" s="2"/>
    </row>
    <row r="6" spans="1:12" x14ac:dyDescent="0.25">
      <c r="J6" s="2"/>
    </row>
    <row r="7" spans="1:12" x14ac:dyDescent="0.25">
      <c r="A7" s="815"/>
      <c r="B7" s="815"/>
      <c r="C7" s="815"/>
      <c r="D7" s="815"/>
      <c r="E7" s="815"/>
      <c r="F7" s="815"/>
      <c r="G7" s="815"/>
      <c r="H7" s="815"/>
      <c r="J7" s="2"/>
    </row>
    <row r="8" spans="1:12" x14ac:dyDescent="0.25">
      <c r="A8" s="818" t="s">
        <v>557</v>
      </c>
      <c r="B8" s="818"/>
      <c r="C8" s="818"/>
      <c r="D8" s="818"/>
      <c r="E8" s="818"/>
      <c r="F8" s="818"/>
      <c r="G8" s="818"/>
      <c r="H8" s="818"/>
      <c r="I8" s="33"/>
      <c r="J8" s="2"/>
    </row>
    <row r="9" spans="1:12" x14ac:dyDescent="0.25">
      <c r="A9" s="819" t="s">
        <v>837</v>
      </c>
      <c r="B9" s="819"/>
      <c r="C9" s="819"/>
      <c r="D9" s="819"/>
      <c r="E9" s="819"/>
      <c r="F9" s="819"/>
      <c r="G9" s="819"/>
      <c r="H9" s="819"/>
      <c r="I9" s="252"/>
      <c r="J9" s="2"/>
    </row>
    <row r="10" spans="1:12" x14ac:dyDescent="0.25">
      <c r="A10" s="819" t="s">
        <v>83</v>
      </c>
      <c r="B10" s="819"/>
      <c r="C10" s="819"/>
      <c r="D10" s="819"/>
      <c r="E10" s="819"/>
      <c r="F10" s="819"/>
      <c r="G10" s="819"/>
      <c r="H10" s="819"/>
      <c r="I10" s="252"/>
      <c r="J10" s="2"/>
    </row>
    <row r="11" spans="1:12" ht="23.25" customHeight="1" x14ac:dyDescent="0.25">
      <c r="A11" s="815"/>
      <c r="B11" s="815"/>
      <c r="C11" s="815"/>
      <c r="D11" s="815"/>
      <c r="E11" s="815"/>
      <c r="F11" s="815"/>
      <c r="G11" s="815"/>
      <c r="H11" s="815"/>
      <c r="J11" s="2"/>
    </row>
    <row r="12" spans="1:12" x14ac:dyDescent="0.25">
      <c r="B12" s="212" t="s">
        <v>558</v>
      </c>
      <c r="J12" s="2"/>
    </row>
    <row r="13" spans="1:12" x14ac:dyDescent="0.25">
      <c r="B13" s="6" t="s">
        <v>559</v>
      </c>
      <c r="J13" s="2"/>
      <c r="K13" s="3"/>
    </row>
    <row r="14" spans="1:12" x14ac:dyDescent="0.25">
      <c r="B14" t="s">
        <v>560</v>
      </c>
      <c r="G14" s="337">
        <f>+'Balanza Con'!G9</f>
        <v>25274.96000000001</v>
      </c>
      <c r="J14" s="2"/>
      <c r="K14" s="2"/>
      <c r="L14" s="5"/>
    </row>
    <row r="15" spans="1:12" x14ac:dyDescent="0.25">
      <c r="B15" t="s">
        <v>561</v>
      </c>
      <c r="G15" s="337">
        <f>+'Balanza Con'!G12</f>
        <v>491050</v>
      </c>
      <c r="L15" s="3"/>
    </row>
    <row r="16" spans="1:12" x14ac:dyDescent="0.25">
      <c r="B16" t="s">
        <v>562</v>
      </c>
      <c r="G16" s="336">
        <f>+'Balanza Con'!G13</f>
        <v>766654.9</v>
      </c>
      <c r="I16" s="5"/>
      <c r="J16" s="446"/>
      <c r="K16" s="5"/>
    </row>
    <row r="17" spans="2:14" ht="15" customHeight="1" x14ac:dyDescent="0.25">
      <c r="B17" t="s">
        <v>563</v>
      </c>
      <c r="G17" s="695">
        <f>+'Balanza Con'!G15+'Balanza Con'!G16+'Balanza Con'!G17+'Balanza Con'!G18</f>
        <v>230256.36583333334</v>
      </c>
      <c r="J17" s="5"/>
      <c r="K17" s="5"/>
    </row>
    <row r="18" spans="2:14" ht="15" customHeight="1" x14ac:dyDescent="0.25">
      <c r="B18" s="6" t="s">
        <v>564</v>
      </c>
      <c r="G18" s="336">
        <f>SUM(G14:G17)</f>
        <v>1513236.2258333336</v>
      </c>
    </row>
    <row r="19" spans="2:14" ht="10.5" customHeight="1" x14ac:dyDescent="0.25"/>
    <row r="20" spans="2:14" ht="15" customHeight="1" x14ac:dyDescent="0.25">
      <c r="B20" s="6" t="s">
        <v>565</v>
      </c>
      <c r="K20" s="252"/>
      <c r="L20" s="252"/>
      <c r="M20" s="252"/>
    </row>
    <row r="21" spans="2:14" ht="16.5" customHeight="1" x14ac:dyDescent="0.25">
      <c r="B21" t="s">
        <v>566</v>
      </c>
      <c r="G21" s="337">
        <f>+'Balanza Con'!H20</f>
        <v>5326984.1599999964</v>
      </c>
      <c r="H21" s="807"/>
      <c r="I21" s="2"/>
      <c r="J21" s="278"/>
      <c r="K21" s="253"/>
      <c r="L21" s="253"/>
      <c r="M21" s="253"/>
      <c r="N21" s="3"/>
    </row>
    <row r="22" spans="2:14" ht="16.5" customHeight="1" x14ac:dyDescent="0.25">
      <c r="B22" t="s">
        <v>624</v>
      </c>
      <c r="G22" s="695">
        <f>+'Balanza Con'!H27</f>
        <v>1462500.5099999998</v>
      </c>
      <c r="H22" s="807"/>
      <c r="I22" s="2"/>
      <c r="J22" s="3"/>
      <c r="K22" s="253"/>
      <c r="L22" s="253"/>
      <c r="M22" s="253"/>
      <c r="N22" s="3"/>
    </row>
    <row r="23" spans="2:14" ht="15" customHeight="1" x14ac:dyDescent="0.25">
      <c r="B23" s="6" t="s">
        <v>567</v>
      </c>
      <c r="G23" s="337">
        <f>SUM(G21:G22)</f>
        <v>6789484.6699999962</v>
      </c>
      <c r="I23" s="2"/>
      <c r="J23" s="2"/>
      <c r="L23" s="3"/>
      <c r="N23" s="3"/>
    </row>
    <row r="24" spans="2:14" ht="10.5" customHeight="1" x14ac:dyDescent="0.25"/>
    <row r="25" spans="2:14" ht="15" customHeight="1" x14ac:dyDescent="0.25">
      <c r="B25" s="6" t="s">
        <v>568</v>
      </c>
      <c r="G25" s="337"/>
      <c r="I25" s="3"/>
      <c r="J25" s="5"/>
      <c r="K25" s="5"/>
    </row>
    <row r="26" spans="2:14" ht="15" customHeight="1" x14ac:dyDescent="0.25">
      <c r="B26" t="s">
        <v>569</v>
      </c>
      <c r="G26" s="412">
        <v>1102461.3600000001</v>
      </c>
    </row>
    <row r="27" spans="2:14" ht="15" customHeight="1" x14ac:dyDescent="0.25">
      <c r="B27" s="6" t="s">
        <v>570</v>
      </c>
      <c r="G27" s="338">
        <f>SUM(G26:G26)</f>
        <v>1102461.3600000001</v>
      </c>
    </row>
    <row r="28" spans="2:14" ht="10.5" customHeight="1" x14ac:dyDescent="0.25">
      <c r="B28" s="6"/>
    </row>
    <row r="29" spans="2:14" ht="15" customHeight="1" thickBot="1" x14ac:dyDescent="0.3">
      <c r="B29" s="6" t="s">
        <v>571</v>
      </c>
      <c r="G29" s="428">
        <f>+G18+G23+G27</f>
        <v>9405182.2558333296</v>
      </c>
      <c r="I29" s="2"/>
      <c r="J29" s="5"/>
      <c r="K29" s="5"/>
      <c r="L29" s="5"/>
      <c r="M29" s="2"/>
      <c r="N29" s="3"/>
    </row>
    <row r="30" spans="2:14" ht="15" customHeight="1" thickTop="1" x14ac:dyDescent="0.25">
      <c r="J30" s="5"/>
      <c r="K30" s="5"/>
      <c r="L30" s="3"/>
    </row>
    <row r="31" spans="2:14" ht="15" customHeight="1" x14ac:dyDescent="0.25">
      <c r="B31" s="212" t="s">
        <v>572</v>
      </c>
      <c r="H31" s="551"/>
      <c r="I31" s="5"/>
      <c r="J31" s="5"/>
      <c r="K31" s="5"/>
    </row>
    <row r="32" spans="2:14" ht="15" customHeight="1" x14ac:dyDescent="0.25">
      <c r="B32" s="6" t="s">
        <v>573</v>
      </c>
    </row>
    <row r="33" spans="2:12" ht="15" customHeight="1" x14ac:dyDescent="0.25">
      <c r="B33" t="s">
        <v>574</v>
      </c>
      <c r="G33" s="336">
        <f>+'Balanza Con'!G39</f>
        <v>13062915.640000001</v>
      </c>
      <c r="H33" s="551"/>
      <c r="I33" s="5"/>
      <c r="J33" s="5"/>
    </row>
    <row r="34" spans="2:12" x14ac:dyDescent="0.25">
      <c r="B34" t="s">
        <v>73</v>
      </c>
      <c r="G34" s="412">
        <f>+'[2]Balanza Con'!G53</f>
        <v>0</v>
      </c>
      <c r="J34" s="5"/>
    </row>
    <row r="35" spans="2:12" x14ac:dyDescent="0.25">
      <c r="B35" s="6" t="s">
        <v>575</v>
      </c>
      <c r="G35" s="336">
        <f>SUM(G33:G34)</f>
        <v>13062915.640000001</v>
      </c>
      <c r="H35" s="551"/>
      <c r="I35" s="5"/>
      <c r="J35" s="5"/>
    </row>
    <row r="36" spans="2:12" x14ac:dyDescent="0.25">
      <c r="B36" s="6"/>
      <c r="H36" s="551"/>
      <c r="I36" s="5"/>
    </row>
    <row r="37" spans="2:12" x14ac:dyDescent="0.25">
      <c r="B37" s="6" t="s">
        <v>576</v>
      </c>
      <c r="H37" s="551"/>
      <c r="I37" s="5"/>
    </row>
    <row r="38" spans="2:12" x14ac:dyDescent="0.25">
      <c r="B38" t="s">
        <v>577</v>
      </c>
      <c r="E38" t="s">
        <v>0</v>
      </c>
      <c r="G38" s="412">
        <v>0</v>
      </c>
      <c r="H38" s="551"/>
      <c r="I38" s="5"/>
      <c r="J38" s="5"/>
    </row>
    <row r="39" spans="2:12" x14ac:dyDescent="0.25">
      <c r="B39" s="6" t="s">
        <v>578</v>
      </c>
      <c r="G39" s="429">
        <f>SUM(G38)</f>
        <v>0</v>
      </c>
      <c r="J39" s="5"/>
    </row>
    <row r="40" spans="2:12" x14ac:dyDescent="0.25">
      <c r="B40" s="6"/>
      <c r="G40" s="429"/>
      <c r="J40" s="5"/>
    </row>
    <row r="41" spans="2:12" x14ac:dyDescent="0.25">
      <c r="B41" s="6" t="s">
        <v>1</v>
      </c>
    </row>
    <row r="42" spans="2:12" x14ac:dyDescent="0.25">
      <c r="B42" t="s">
        <v>579</v>
      </c>
      <c r="G42" s="412">
        <v>-3657733.38</v>
      </c>
      <c r="H42" s="551"/>
      <c r="I42" s="5"/>
      <c r="J42" s="254"/>
    </row>
    <row r="43" spans="2:12" x14ac:dyDescent="0.25">
      <c r="B43" s="6" t="s">
        <v>580</v>
      </c>
      <c r="G43" s="338">
        <f>SUM(G42)</f>
        <v>-3657733.38</v>
      </c>
      <c r="H43" s="551"/>
      <c r="I43" s="5"/>
      <c r="J43" s="5"/>
    </row>
    <row r="44" spans="2:12" x14ac:dyDescent="0.25">
      <c r="J44" s="2"/>
      <c r="K44" s="3"/>
      <c r="L44" s="3"/>
    </row>
    <row r="45" spans="2:12" ht="15.75" thickBot="1" x14ac:dyDescent="0.3">
      <c r="B45" s="6" t="s">
        <v>581</v>
      </c>
      <c r="G45" s="428">
        <f>+G35+G39+G43</f>
        <v>9405182.2600000016</v>
      </c>
      <c r="H45" s="408"/>
      <c r="I45" s="254">
        <f>+G29-G45</f>
        <v>-4.1666720062494278E-3</v>
      </c>
      <c r="K45" s="3"/>
    </row>
    <row r="46" spans="2:12" ht="15.75" thickTop="1" x14ac:dyDescent="0.25">
      <c r="B46" s="6"/>
      <c r="G46" s="429"/>
      <c r="H46" s="551"/>
      <c r="I46" s="5"/>
      <c r="J46" s="5"/>
    </row>
    <row r="47" spans="2:12" x14ac:dyDescent="0.25">
      <c r="B47" s="6"/>
      <c r="G47" s="429"/>
      <c r="H47" s="551"/>
      <c r="I47" s="5"/>
      <c r="J47" s="5"/>
    </row>
    <row r="48" spans="2:12" x14ac:dyDescent="0.25">
      <c r="B48" s="6"/>
      <c r="G48" s="429"/>
      <c r="H48" s="551"/>
      <c r="I48" s="5"/>
      <c r="J48" s="5"/>
    </row>
    <row r="49" spans="2:9" x14ac:dyDescent="0.25">
      <c r="B49" s="6"/>
      <c r="G49" s="429"/>
      <c r="H49" s="551" t="s">
        <v>611</v>
      </c>
      <c r="I49" s="5"/>
    </row>
    <row r="50" spans="2:9" x14ac:dyDescent="0.25">
      <c r="B50" s="815" t="s">
        <v>659</v>
      </c>
      <c r="C50" s="815"/>
      <c r="F50" s="817" t="s">
        <v>582</v>
      </c>
      <c r="G50" s="817"/>
      <c r="H50" s="817"/>
      <c r="I50" s="4"/>
    </row>
    <row r="51" spans="2:9" x14ac:dyDescent="0.25">
      <c r="B51" s="815" t="s">
        <v>655</v>
      </c>
      <c r="C51" s="815"/>
      <c r="F51" s="817" t="s">
        <v>662</v>
      </c>
      <c r="G51" s="817"/>
      <c r="H51" s="817"/>
      <c r="I51" s="4"/>
    </row>
    <row r="52" spans="2:9" ht="21" customHeight="1" x14ac:dyDescent="0.25"/>
    <row r="53" spans="2:9" ht="32.25" customHeight="1" x14ac:dyDescent="0.25">
      <c r="B53" s="816"/>
      <c r="C53" s="816"/>
      <c r="D53" s="816"/>
      <c r="E53" s="816"/>
      <c r="F53" s="816"/>
      <c r="G53" s="816"/>
      <c r="H53" s="816"/>
    </row>
  </sheetData>
  <mergeCells count="10">
    <mergeCell ref="A7:H7"/>
    <mergeCell ref="B53:H53"/>
    <mergeCell ref="B51:C51"/>
    <mergeCell ref="F51:H51"/>
    <mergeCell ref="A8:H8"/>
    <mergeCell ref="A9:H9"/>
    <mergeCell ref="A10:H10"/>
    <mergeCell ref="B50:C50"/>
    <mergeCell ref="F50:H50"/>
    <mergeCell ref="A11:H11"/>
  </mergeCells>
  <pageMargins left="0.7" right="0.7" top="0.75" bottom="0.75" header="0.3" footer="0.3"/>
  <pageSetup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F719B-276F-44C0-9057-47255D76A836}">
  <dimension ref="A3:J17"/>
  <sheetViews>
    <sheetView topLeftCell="A4" workbookViewId="0">
      <selection activeCell="K16" sqref="K16"/>
    </sheetView>
  </sheetViews>
  <sheetFormatPr baseColWidth="10" defaultRowHeight="15" x14ac:dyDescent="0.25"/>
  <cols>
    <col min="1" max="1" width="10.85546875" customWidth="1"/>
    <col min="2" max="2" width="8.140625" customWidth="1"/>
    <col min="3" max="3" width="31.42578125" customWidth="1"/>
    <col min="4" max="4" width="8.85546875" customWidth="1"/>
    <col min="5" max="5" width="14.42578125" customWidth="1"/>
    <col min="6" max="6" width="15.28515625" customWidth="1"/>
    <col min="7" max="7" width="17.7109375" customWidth="1"/>
    <col min="8" max="8" width="13" customWidth="1"/>
    <col min="10" max="10" width="13.140625" bestFit="1" customWidth="1"/>
  </cols>
  <sheetData>
    <row r="3" spans="1:10" x14ac:dyDescent="0.25">
      <c r="F3" s="644"/>
    </row>
    <row r="4" spans="1:10" x14ac:dyDescent="0.25">
      <c r="F4" s="644"/>
    </row>
    <row r="5" spans="1:10" ht="31.5" x14ac:dyDescent="0.5">
      <c r="A5" s="910" t="s">
        <v>108</v>
      </c>
      <c r="B5" s="910"/>
      <c r="C5" s="910"/>
      <c r="D5" s="910"/>
      <c r="E5" s="910"/>
      <c r="F5" s="910"/>
      <c r="G5" s="910"/>
      <c r="H5" s="910"/>
    </row>
    <row r="6" spans="1:10" x14ac:dyDescent="0.25">
      <c r="F6" s="644"/>
    </row>
    <row r="7" spans="1:10" ht="24.75" customHeight="1" x14ac:dyDescent="0.3">
      <c r="A7" s="911" t="s">
        <v>753</v>
      </c>
      <c r="B7" s="911"/>
      <c r="C7" s="911"/>
      <c r="D7" s="911"/>
      <c r="E7" s="911"/>
      <c r="F7" s="911"/>
      <c r="G7" s="911"/>
      <c r="H7" s="911"/>
    </row>
    <row r="8" spans="1:10" x14ac:dyDescent="0.25">
      <c r="F8" s="644"/>
    </row>
    <row r="9" spans="1:10" ht="15.75" thickBot="1" x14ac:dyDescent="0.3">
      <c r="F9" s="549"/>
    </row>
    <row r="10" spans="1:10" ht="32.25" thickBot="1" x14ac:dyDescent="0.3">
      <c r="A10" s="653" t="s">
        <v>596</v>
      </c>
      <c r="B10" s="654" t="s">
        <v>750</v>
      </c>
      <c r="C10" s="654" t="s">
        <v>751</v>
      </c>
      <c r="D10" s="654" t="s">
        <v>302</v>
      </c>
      <c r="E10" s="654" t="s">
        <v>752</v>
      </c>
      <c r="F10" s="654" t="s">
        <v>745</v>
      </c>
      <c r="G10" s="654" t="s">
        <v>746</v>
      </c>
      <c r="H10" s="655" t="s">
        <v>747</v>
      </c>
    </row>
    <row r="11" spans="1:10" ht="22.5" customHeight="1" x14ac:dyDescent="0.25">
      <c r="A11" s="656">
        <v>46106</v>
      </c>
      <c r="B11" s="657" t="s">
        <v>735</v>
      </c>
      <c r="C11" s="687" t="s">
        <v>717</v>
      </c>
      <c r="D11" s="657">
        <v>100</v>
      </c>
      <c r="E11" s="657" t="s">
        <v>714</v>
      </c>
      <c r="F11" s="658">
        <v>243366.8</v>
      </c>
      <c r="G11" s="659">
        <f>+H11*D17</f>
        <v>241384.81358316258</v>
      </c>
      <c r="H11" s="660">
        <v>4000</v>
      </c>
    </row>
    <row r="12" spans="1:10" ht="33" customHeight="1" x14ac:dyDescent="0.25">
      <c r="A12" s="661">
        <v>46111</v>
      </c>
      <c r="B12" s="651" t="s">
        <v>737</v>
      </c>
      <c r="C12" s="688" t="s">
        <v>711</v>
      </c>
      <c r="D12" s="651">
        <v>100</v>
      </c>
      <c r="E12" s="683" t="s">
        <v>377</v>
      </c>
      <c r="F12" s="648">
        <v>585542.77</v>
      </c>
      <c r="G12" s="649">
        <f>+H12*D17</f>
        <v>578872.16299818968</v>
      </c>
      <c r="H12" s="662">
        <v>9592.52</v>
      </c>
    </row>
    <row r="13" spans="1:10" ht="33" customHeight="1" x14ac:dyDescent="0.25">
      <c r="A13" s="682">
        <v>46129</v>
      </c>
      <c r="B13" s="683" t="s">
        <v>787</v>
      </c>
      <c r="C13" s="689" t="s">
        <v>788</v>
      </c>
      <c r="D13" s="683">
        <v>100</v>
      </c>
      <c r="E13" s="683" t="s">
        <v>377</v>
      </c>
      <c r="F13" s="684">
        <v>165689.26999999999</v>
      </c>
      <c r="G13" s="685">
        <f>+H13*D17</f>
        <v>164443.4042535295</v>
      </c>
      <c r="H13" s="686">
        <v>2725</v>
      </c>
    </row>
    <row r="14" spans="1:10" ht="22.5" customHeight="1" thickBot="1" x14ac:dyDescent="0.3">
      <c r="A14" s="663">
        <v>46134</v>
      </c>
      <c r="B14" s="664" t="s">
        <v>800</v>
      </c>
      <c r="C14" s="690" t="s">
        <v>801</v>
      </c>
      <c r="D14" s="664">
        <v>100</v>
      </c>
      <c r="E14" s="664" t="s">
        <v>714</v>
      </c>
      <c r="F14" s="665">
        <v>131557.87</v>
      </c>
      <c r="G14" s="666">
        <f>+H14*D17</f>
        <v>127330.48916511826</v>
      </c>
      <c r="H14" s="667">
        <v>2110</v>
      </c>
    </row>
    <row r="15" spans="1:10" ht="22.5" customHeight="1" thickBot="1" x14ac:dyDescent="0.3">
      <c r="A15" s="647"/>
      <c r="B15" s="647"/>
      <c r="C15" s="881" t="s">
        <v>126</v>
      </c>
      <c r="D15" s="881"/>
      <c r="E15" s="881"/>
      <c r="F15" s="668">
        <f>SUM(F11:F14)</f>
        <v>1126156.71</v>
      </c>
      <c r="G15" s="669">
        <f>SUM(G11:G14)</f>
        <v>1112030.8700000001</v>
      </c>
      <c r="H15" s="670">
        <f>SUM(H11:H14)</f>
        <v>18427.52</v>
      </c>
      <c r="I15" s="3"/>
      <c r="J15" s="1"/>
    </row>
    <row r="16" spans="1:10" ht="24" customHeight="1" x14ac:dyDescent="0.25">
      <c r="G16" s="3"/>
    </row>
    <row r="17" spans="3:8" x14ac:dyDescent="0.25">
      <c r="C17" s="252" t="s">
        <v>748</v>
      </c>
      <c r="D17" s="652">
        <f>+E17/H15</f>
        <v>60.346203395790646</v>
      </c>
      <c r="E17" s="1">
        <v>1112030.8700000001</v>
      </c>
      <c r="F17" s="909" t="s">
        <v>749</v>
      </c>
      <c r="G17" s="909"/>
      <c r="H17" s="650">
        <f>+F15-G15</f>
        <v>14125.839999999851</v>
      </c>
    </row>
  </sheetData>
  <mergeCells count="4">
    <mergeCell ref="F17:G17"/>
    <mergeCell ref="C15:E15"/>
    <mergeCell ref="A5:H5"/>
    <mergeCell ref="A7:H7"/>
  </mergeCells>
  <pageMargins left="0.51181102362204722" right="0.31496062992125984" top="0.74803149606299213" bottom="0.74803149606299213" header="0.31496062992125984" footer="0.31496062992125984"/>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J28"/>
  <sheetViews>
    <sheetView topLeftCell="A7" zoomScale="120" zoomScaleNormal="120" workbookViewId="0">
      <pane xSplit="1" topLeftCell="B1" activePane="topRight" state="frozen"/>
      <selection activeCell="G17" sqref="G17"/>
      <selection pane="topRight" activeCell="J20" sqref="J20"/>
    </sheetView>
  </sheetViews>
  <sheetFormatPr baseColWidth="10" defaultColWidth="48.42578125" defaultRowHeight="15" x14ac:dyDescent="0.25"/>
  <cols>
    <col min="1" max="1" width="1.85546875" customWidth="1"/>
    <col min="2" max="2" width="12.42578125" customWidth="1"/>
    <col min="3" max="3" width="16" style="67" customWidth="1"/>
    <col min="4" max="4" width="42.7109375" customWidth="1"/>
    <col min="5" max="6" width="12" style="5" customWidth="1"/>
    <col min="7" max="7" width="12.85546875" style="5" customWidth="1"/>
    <col min="8" max="8" width="11.42578125" style="5" customWidth="1"/>
    <col min="9" max="9" width="9.85546875" customWidth="1"/>
  </cols>
  <sheetData>
    <row r="1" spans="1:8" ht="10.5" customHeight="1" x14ac:dyDescent="0.25"/>
    <row r="2" spans="1:8" ht="13.5" customHeight="1" x14ac:dyDescent="0.25"/>
    <row r="3" spans="1:8" ht="13.5" customHeight="1" x14ac:dyDescent="0.25"/>
    <row r="4" spans="1:8" ht="22.5" customHeight="1" x14ac:dyDescent="0.25">
      <c r="A4" s="833" t="s">
        <v>535</v>
      </c>
      <c r="B4" s="833"/>
      <c r="C4" s="833"/>
      <c r="D4" s="833"/>
      <c r="E4" s="833"/>
      <c r="F4" s="833"/>
      <c r="G4" s="833"/>
      <c r="H4" s="68"/>
    </row>
    <row r="5" spans="1:8" ht="11.25" customHeight="1" x14ac:dyDescent="0.25">
      <c r="A5" s="840"/>
      <c r="B5" s="840"/>
      <c r="C5" s="840"/>
      <c r="D5" s="840"/>
      <c r="E5" s="840"/>
      <c r="F5" s="840"/>
      <c r="G5" s="840"/>
      <c r="H5" s="69"/>
    </row>
    <row r="6" spans="1:8" ht="19.5" customHeight="1" x14ac:dyDescent="0.25">
      <c r="A6" s="838" t="s">
        <v>318</v>
      </c>
      <c r="B6" s="838"/>
      <c r="C6" s="838"/>
      <c r="D6" s="838"/>
      <c r="E6" s="838"/>
      <c r="F6" s="838"/>
      <c r="G6" s="838"/>
      <c r="H6" s="70"/>
    </row>
    <row r="7" spans="1:8" ht="16.5" customHeight="1" x14ac:dyDescent="0.25">
      <c r="A7" s="838" t="s">
        <v>319</v>
      </c>
      <c r="B7" s="838"/>
      <c r="C7" s="838"/>
      <c r="D7" s="838"/>
      <c r="E7" s="838"/>
      <c r="F7" s="838"/>
      <c r="G7" s="838"/>
      <c r="H7" s="70"/>
    </row>
    <row r="8" spans="1:8" ht="18.75" customHeight="1" x14ac:dyDescent="0.25">
      <c r="A8" s="838" t="s">
        <v>841</v>
      </c>
      <c r="B8" s="838"/>
      <c r="C8" s="838"/>
      <c r="D8" s="838"/>
      <c r="E8" s="838"/>
      <c r="F8" s="838"/>
      <c r="G8" s="838"/>
      <c r="H8" s="70"/>
    </row>
    <row r="9" spans="1:8" ht="18" customHeight="1" x14ac:dyDescent="0.25">
      <c r="A9" s="839"/>
      <c r="B9" s="839"/>
      <c r="C9" s="839"/>
      <c r="D9" s="839"/>
      <c r="E9" s="839"/>
      <c r="F9" s="839"/>
      <c r="G9" s="839"/>
      <c r="H9" s="70"/>
    </row>
    <row r="10" spans="1:8" ht="21" customHeight="1" x14ac:dyDescent="0.25">
      <c r="B10" s="836" t="s">
        <v>320</v>
      </c>
      <c r="C10" s="836"/>
      <c r="D10" s="836"/>
      <c r="E10" s="836"/>
      <c r="F10" s="836"/>
      <c r="G10" s="836"/>
      <c r="H10" s="30"/>
    </row>
    <row r="11" spans="1:8" ht="21" customHeight="1" x14ac:dyDescent="0.25">
      <c r="B11" s="837" t="s">
        <v>321</v>
      </c>
      <c r="C11" s="837"/>
      <c r="D11" s="837"/>
      <c r="E11" s="837"/>
      <c r="F11" s="837"/>
      <c r="G11" s="837"/>
      <c r="H11" s="30"/>
    </row>
    <row r="12" spans="1:8" ht="15" customHeight="1" thickBot="1" x14ac:dyDescent="0.3">
      <c r="B12" s="834" t="s">
        <v>322</v>
      </c>
      <c r="C12" s="834"/>
      <c r="D12" s="834"/>
      <c r="E12" s="834"/>
      <c r="F12" s="834"/>
      <c r="G12" s="834"/>
      <c r="H12" s="4"/>
    </row>
    <row r="13" spans="1:8" ht="30" customHeight="1" thickBot="1" x14ac:dyDescent="0.3">
      <c r="B13" s="71" t="s">
        <v>127</v>
      </c>
      <c r="C13" s="72" t="s">
        <v>323</v>
      </c>
      <c r="D13" s="73" t="s">
        <v>324</v>
      </c>
      <c r="E13" s="221" t="s">
        <v>325</v>
      </c>
      <c r="F13" s="222" t="s">
        <v>326</v>
      </c>
      <c r="G13" s="221" t="s">
        <v>313</v>
      </c>
      <c r="H13" s="74"/>
    </row>
    <row r="14" spans="1:8" ht="19.5" customHeight="1" x14ac:dyDescent="0.25">
      <c r="B14" s="622"/>
      <c r="C14" s="623"/>
      <c r="D14" s="624" t="s">
        <v>754</v>
      </c>
      <c r="E14" s="625"/>
      <c r="F14" s="625"/>
      <c r="G14" s="626">
        <v>47300.09</v>
      </c>
      <c r="H14" s="65"/>
    </row>
    <row r="15" spans="1:8" ht="19.5" customHeight="1" x14ac:dyDescent="0.25">
      <c r="B15" s="627">
        <v>46147</v>
      </c>
      <c r="C15" s="628" t="s">
        <v>847</v>
      </c>
      <c r="D15" s="629" t="s">
        <v>804</v>
      </c>
      <c r="E15" s="630"/>
      <c r="F15" s="630">
        <v>0</v>
      </c>
      <c r="G15" s="631">
        <f>+G14+E15-F15</f>
        <v>47300.09</v>
      </c>
      <c r="H15" s="65"/>
    </row>
    <row r="16" spans="1:8" ht="19.5" customHeight="1" x14ac:dyDescent="0.25">
      <c r="B16" s="627">
        <v>46147</v>
      </c>
      <c r="C16" s="628" t="s">
        <v>848</v>
      </c>
      <c r="D16" s="629" t="s">
        <v>849</v>
      </c>
      <c r="E16" s="630"/>
      <c r="F16" s="630">
        <v>7412.38</v>
      </c>
      <c r="G16" s="631">
        <f t="shared" ref="G16:G18" si="0">+G15+E16-F16</f>
        <v>39887.71</v>
      </c>
      <c r="H16" s="65"/>
    </row>
    <row r="17" spans="2:10" ht="19.5" customHeight="1" x14ac:dyDescent="0.25">
      <c r="B17" s="627">
        <v>46147</v>
      </c>
      <c r="C17" s="628" t="s">
        <v>845</v>
      </c>
      <c r="D17" s="629" t="s">
        <v>846</v>
      </c>
      <c r="E17" s="630"/>
      <c r="F17" s="710">
        <v>14405.02</v>
      </c>
      <c r="G17" s="711">
        <f t="shared" si="0"/>
        <v>25482.69</v>
      </c>
      <c r="H17" s="65"/>
    </row>
    <row r="18" spans="2:10" ht="19.5" customHeight="1" thickBot="1" x14ac:dyDescent="0.3">
      <c r="B18" s="632">
        <v>46173</v>
      </c>
      <c r="C18" s="633"/>
      <c r="D18" s="634" t="s">
        <v>842</v>
      </c>
      <c r="E18" s="635"/>
      <c r="F18" s="709">
        <v>207.73</v>
      </c>
      <c r="G18" s="636">
        <f t="shared" si="0"/>
        <v>25274.959999999999</v>
      </c>
    </row>
    <row r="19" spans="2:10" s="5" customFormat="1" ht="21" customHeight="1" thickBot="1" x14ac:dyDescent="0.3">
      <c r="B19" s="637"/>
      <c r="C19" s="638"/>
      <c r="D19" s="639" t="s">
        <v>843</v>
      </c>
      <c r="E19" s="640">
        <f>SUM(E14:E18)</f>
        <v>0</v>
      </c>
      <c r="F19" s="641">
        <f>SUM(F14:F18)</f>
        <v>22025.13</v>
      </c>
      <c r="G19" s="642">
        <f>+G18</f>
        <v>25274.959999999999</v>
      </c>
      <c r="I19" s="17"/>
    </row>
    <row r="20" spans="2:10" s="5" customFormat="1" x14ac:dyDescent="0.25">
      <c r="B20"/>
      <c r="C20" s="67"/>
      <c r="D20"/>
    </row>
    <row r="21" spans="2:10" s="5" customFormat="1" x14ac:dyDescent="0.25">
      <c r="B21"/>
      <c r="C21" s="67"/>
      <c r="D21" s="20" t="s">
        <v>0</v>
      </c>
    </row>
    <row r="22" spans="2:10" s="5" customFormat="1" x14ac:dyDescent="0.25">
      <c r="B22"/>
      <c r="C22" s="67"/>
      <c r="D22"/>
    </row>
    <row r="23" spans="2:10" s="5" customFormat="1" x14ac:dyDescent="0.25">
      <c r="B23"/>
      <c r="C23" s="67"/>
      <c r="D23"/>
    </row>
    <row r="24" spans="2:10" s="5" customFormat="1" x14ac:dyDescent="0.25">
      <c r="B24"/>
      <c r="C24" s="67" t="s">
        <v>0</v>
      </c>
      <c r="D24"/>
    </row>
    <row r="25" spans="2:10" x14ac:dyDescent="0.25">
      <c r="G25" s="17"/>
    </row>
    <row r="26" spans="2:10" x14ac:dyDescent="0.25">
      <c r="G26" s="75"/>
    </row>
    <row r="27" spans="2:10" x14ac:dyDescent="0.25">
      <c r="B27" s="835" t="s">
        <v>659</v>
      </c>
      <c r="C27" s="835"/>
      <c r="D27" s="4"/>
    </row>
    <row r="28" spans="2:10" s="5" customFormat="1" x14ac:dyDescent="0.25">
      <c r="B28" s="835" t="s">
        <v>327</v>
      </c>
      <c r="C28" s="835"/>
      <c r="D28" s="4"/>
      <c r="I28"/>
      <c r="J28"/>
    </row>
  </sheetData>
  <mergeCells count="11">
    <mergeCell ref="A4:G4"/>
    <mergeCell ref="B12:G12"/>
    <mergeCell ref="B27:C27"/>
    <mergeCell ref="B28:C28"/>
    <mergeCell ref="B10:G10"/>
    <mergeCell ref="B11:G11"/>
    <mergeCell ref="A7:G7"/>
    <mergeCell ref="A8:G8"/>
    <mergeCell ref="A6:G6"/>
    <mergeCell ref="A9:G9"/>
    <mergeCell ref="A5:G5"/>
  </mergeCells>
  <phoneticPr fontId="81" type="noConversion"/>
  <pageMargins left="0.59" right="1.1811024E-2" top="0.74803149606299202" bottom="0.74803149606299202" header="0.31496062992126" footer="0.31496062992126"/>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O168"/>
  <sheetViews>
    <sheetView view="pageBreakPreview" topLeftCell="B142" zoomScale="94" zoomScaleNormal="110" zoomScaleSheetLayoutView="94" workbookViewId="0">
      <selection activeCell="F157" sqref="F157"/>
    </sheetView>
  </sheetViews>
  <sheetFormatPr baseColWidth="10" defaultColWidth="11.42578125" defaultRowHeight="15" x14ac:dyDescent="0.25"/>
  <cols>
    <col min="1" max="1" width="0.85546875" hidden="1" customWidth="1"/>
    <col min="2" max="2" width="24.28515625" customWidth="1"/>
    <col min="3" max="3" width="65.140625" customWidth="1"/>
    <col min="4" max="4" width="16.5703125" style="5" customWidth="1"/>
    <col min="5" max="5" width="14.85546875" style="5" customWidth="1"/>
    <col min="6" max="6" width="17.140625" style="5" customWidth="1"/>
    <col min="7" max="7" width="15.5703125" style="5" customWidth="1"/>
    <col min="8" max="8" width="13.85546875" style="166" customWidth="1"/>
    <col min="9" max="9" width="9.140625" style="166" customWidth="1"/>
    <col min="10" max="10" width="15.28515625" style="20" customWidth="1"/>
    <col min="11" max="11" width="13.28515625" style="20" customWidth="1"/>
    <col min="12" max="12" width="17.28515625" style="20" customWidth="1"/>
    <col min="13" max="13" width="22.42578125" customWidth="1"/>
    <col min="14" max="14" width="14.140625" bestFit="1" customWidth="1"/>
  </cols>
  <sheetData>
    <row r="1" spans="1:15" ht="9.75" customHeight="1" x14ac:dyDescent="0.25">
      <c r="B1" s="815"/>
      <c r="C1" s="815"/>
      <c r="D1" s="815"/>
      <c r="E1" s="815"/>
      <c r="F1" s="815"/>
      <c r="G1" s="815"/>
      <c r="H1" s="815"/>
      <c r="I1" s="4"/>
      <c r="J1" s="4"/>
      <c r="K1" s="4"/>
    </row>
    <row r="2" spans="1:15" ht="31.5" customHeight="1" x14ac:dyDescent="0.5">
      <c r="B2" s="841" t="s">
        <v>12</v>
      </c>
      <c r="C2" s="841"/>
      <c r="D2" s="841"/>
      <c r="E2" s="841"/>
      <c r="F2" s="841"/>
      <c r="G2" s="841"/>
      <c r="H2" s="841"/>
      <c r="I2" s="793"/>
      <c r="J2" s="276"/>
      <c r="K2" s="502"/>
    </row>
    <row r="3" spans="1:15" ht="6" customHeight="1" x14ac:dyDescent="0.25">
      <c r="B3" s="815"/>
      <c r="C3" s="815"/>
      <c r="D3" s="815"/>
      <c r="E3" s="815"/>
      <c r="F3" s="815"/>
      <c r="G3" s="815"/>
      <c r="H3" s="815"/>
      <c r="I3" s="4"/>
      <c r="J3" s="4"/>
      <c r="K3" s="4"/>
    </row>
    <row r="4" spans="1:15" ht="24" customHeight="1" x14ac:dyDescent="0.25">
      <c r="B4" s="842" t="s">
        <v>814</v>
      </c>
      <c r="C4" s="842"/>
      <c r="D4" s="842"/>
      <c r="E4" s="842"/>
      <c r="F4" s="842"/>
      <c r="G4" s="842"/>
      <c r="H4" s="842"/>
      <c r="I4" s="794"/>
      <c r="J4" s="501"/>
      <c r="K4" s="502"/>
    </row>
    <row r="5" spans="1:15" ht="9.75" customHeight="1" x14ac:dyDescent="0.25">
      <c r="B5" s="815"/>
      <c r="C5" s="815"/>
      <c r="D5" s="815"/>
      <c r="E5" s="815"/>
      <c r="F5" s="815"/>
      <c r="G5" s="815"/>
      <c r="H5" s="815"/>
      <c r="I5" s="4"/>
      <c r="J5" s="488"/>
      <c r="K5" s="4"/>
    </row>
    <row r="6" spans="1:15" ht="35.25" customHeight="1" x14ac:dyDescent="0.25">
      <c r="A6" s="107" t="s">
        <v>539</v>
      </c>
      <c r="B6" s="437" t="s">
        <v>14</v>
      </c>
      <c r="C6" s="437" t="s">
        <v>11</v>
      </c>
      <c r="D6" s="438" t="s">
        <v>815</v>
      </c>
      <c r="E6" s="439" t="s">
        <v>81</v>
      </c>
      <c r="F6" s="439" t="s">
        <v>82</v>
      </c>
      <c r="G6" s="439" t="s">
        <v>9</v>
      </c>
      <c r="H6" s="232"/>
      <c r="I6" s="232"/>
      <c r="J6" s="500"/>
      <c r="K6" s="354"/>
      <c r="L6" s="157"/>
    </row>
    <row r="7" spans="1:15" ht="18" customHeight="1" x14ac:dyDescent="0.25">
      <c r="B7" s="94"/>
      <c r="C7" s="94" t="s">
        <v>90</v>
      </c>
      <c r="D7" s="326">
        <f>+D8+D20+D27+D29+D36</f>
        <v>23456209.998333335</v>
      </c>
      <c r="E7" s="326">
        <f>+E8+E20+E27+E29+E36</f>
        <v>11797117.09</v>
      </c>
      <c r="F7" s="326">
        <f>+F8+F20+F27+F29+F36</f>
        <v>14098191.262499999</v>
      </c>
      <c r="G7" s="326">
        <f>+G8+G20+G27+G29+G36</f>
        <v>21155135.825833328</v>
      </c>
      <c r="H7" s="233"/>
      <c r="I7" s="233"/>
      <c r="J7" s="1"/>
      <c r="K7" s="154"/>
      <c r="L7" s="157"/>
    </row>
    <row r="8" spans="1:15" ht="18" customHeight="1" x14ac:dyDescent="0.25">
      <c r="B8" s="94"/>
      <c r="C8" s="94" t="s">
        <v>215</v>
      </c>
      <c r="D8" s="326">
        <f>SUM(D9:D19)</f>
        <v>16695361.048333334</v>
      </c>
      <c r="E8" s="326">
        <f>SUM(E9:E19)</f>
        <v>8271528.9299999997</v>
      </c>
      <c r="F8" s="326">
        <f>SUM(F9:F19)</f>
        <v>10601238.8225</v>
      </c>
      <c r="G8" s="326">
        <f>SUM(G9:G19)</f>
        <v>14365651.155833334</v>
      </c>
      <c r="H8" s="233"/>
      <c r="I8" s="233"/>
      <c r="J8" s="1"/>
      <c r="K8" s="340"/>
      <c r="L8" s="341"/>
      <c r="M8" s="342"/>
      <c r="N8" s="342"/>
    </row>
    <row r="9" spans="1:15" x14ac:dyDescent="0.25">
      <c r="B9" s="93" t="s">
        <v>449</v>
      </c>
      <c r="C9" s="93" t="s">
        <v>8</v>
      </c>
      <c r="D9" s="95">
        <v>47300.090000000011</v>
      </c>
      <c r="E9" s="95">
        <f>+ED!H18</f>
        <v>0</v>
      </c>
      <c r="F9" s="539">
        <f>+ED!J172</f>
        <v>22025.13</v>
      </c>
      <c r="G9" s="563">
        <f>+D9+E9-F9</f>
        <v>25274.96000000001</v>
      </c>
      <c r="H9" s="35"/>
      <c r="I9" s="35"/>
      <c r="J9" s="65"/>
      <c r="K9" s="343"/>
      <c r="L9" s="344"/>
      <c r="M9" s="345"/>
      <c r="N9" s="342"/>
    </row>
    <row r="10" spans="1:15" x14ac:dyDescent="0.25">
      <c r="B10" s="93" t="s">
        <v>450</v>
      </c>
      <c r="C10" s="93" t="s">
        <v>7</v>
      </c>
      <c r="D10" s="96">
        <v>2702988.5000000005</v>
      </c>
      <c r="E10" s="95">
        <f>+ED!H30+ED!H36+ED!H42+ED!H48+ED!H53+ED!H59+ED!H65+ED!H71</f>
        <v>752.8</v>
      </c>
      <c r="F10" s="539">
        <f>ED!J369+ED!J425</f>
        <v>235575.6</v>
      </c>
      <c r="G10" s="563">
        <f>+D10+E10-F10</f>
        <v>2468165.7000000002</v>
      </c>
      <c r="J10" s="168"/>
      <c r="K10" s="346" t="s">
        <v>213</v>
      </c>
      <c r="L10" s="346"/>
      <c r="M10" s="347"/>
      <c r="N10" s="347"/>
    </row>
    <row r="11" spans="1:15" ht="15.75" x14ac:dyDescent="0.25">
      <c r="B11" s="93"/>
      <c r="C11" s="93" t="s">
        <v>16</v>
      </c>
      <c r="D11" s="535">
        <v>11569528.700000001</v>
      </c>
      <c r="E11" s="535">
        <f>+ED!H6+ED!H12+ED!H275</f>
        <v>7925038.1200000001</v>
      </c>
      <c r="F11" s="539">
        <f>ED!J20+ED!J242+ED!J271+ED!J312+ED!J368+ED!J414+ED!J424+ED!J458</f>
        <v>10212778.949999999</v>
      </c>
      <c r="G11" s="570">
        <f>+D11+E11-F11</f>
        <v>9281787.870000001</v>
      </c>
      <c r="H11" s="413">
        <f>SUM(G9:G11)</f>
        <v>11775228.530000001</v>
      </c>
      <c r="I11" s="808"/>
      <c r="J11" s="339">
        <v>11599528.700000001</v>
      </c>
      <c r="K11" s="65">
        <f>+G11-J11</f>
        <v>-2317740.83</v>
      </c>
      <c r="L11" s="156"/>
      <c r="M11" s="147"/>
      <c r="N11" s="3"/>
    </row>
    <row r="12" spans="1:15" x14ac:dyDescent="0.25">
      <c r="B12" s="93" t="s">
        <v>451</v>
      </c>
      <c r="C12" s="93" t="s">
        <v>75</v>
      </c>
      <c r="D12" s="304">
        <v>159000</v>
      </c>
      <c r="E12" s="304">
        <f>ED!H24+ED!H77+ED!H83+ED!H89+ED!H95+ED!H101+ED!H107+ED!H113</f>
        <v>332050</v>
      </c>
      <c r="F12" s="569">
        <f>ED!J38+ED!J44+ED!J50+ED!J61+ED!J67+ED!J73+ED!J178+ED!J55+ED!J121</f>
        <v>0</v>
      </c>
      <c r="G12" s="568">
        <f>+D12+E12-F12</f>
        <v>491050</v>
      </c>
      <c r="H12" s="233"/>
      <c r="I12" s="233"/>
      <c r="J12" s="154"/>
    </row>
    <row r="13" spans="1:15" s="298" customFormat="1" x14ac:dyDescent="0.25">
      <c r="B13" s="566" t="s">
        <v>457</v>
      </c>
      <c r="C13" s="566" t="s">
        <v>6</v>
      </c>
      <c r="D13" s="567">
        <v>801093.05</v>
      </c>
      <c r="E13" s="303">
        <f>+ED!H381+ED!H188</f>
        <v>13688.01</v>
      </c>
      <c r="F13" s="303">
        <f>ED!J184+ED!J196</f>
        <v>48126.16</v>
      </c>
      <c r="G13" s="694">
        <f>+D13+E13-F13</f>
        <v>766654.9</v>
      </c>
      <c r="H13" s="531"/>
      <c r="I13" s="531"/>
      <c r="J13" s="524"/>
      <c r="K13" s="524"/>
      <c r="L13" s="525"/>
    </row>
    <row r="14" spans="1:15" x14ac:dyDescent="0.25">
      <c r="B14" s="93" t="s">
        <v>458</v>
      </c>
      <c r="C14" s="93" t="s">
        <v>5</v>
      </c>
      <c r="D14" s="95">
        <v>0</v>
      </c>
      <c r="E14" s="95">
        <v>0</v>
      </c>
      <c r="F14" s="196">
        <v>0</v>
      </c>
      <c r="G14" s="96">
        <f t="shared" ref="G14:G19" si="0">+D14+E14-F14</f>
        <v>0</v>
      </c>
      <c r="H14" s="235"/>
      <c r="I14" s="235"/>
      <c r="J14" s="158"/>
      <c r="K14" s="158"/>
      <c r="L14" s="278"/>
    </row>
    <row r="15" spans="1:15" x14ac:dyDescent="0.25">
      <c r="B15" s="93"/>
      <c r="C15" s="93" t="s">
        <v>27</v>
      </c>
      <c r="D15" s="304">
        <v>43117.5</v>
      </c>
      <c r="E15" s="95">
        <v>0</v>
      </c>
      <c r="F15" s="95">
        <v>0</v>
      </c>
      <c r="G15" s="564">
        <f t="shared" si="0"/>
        <v>43117.5</v>
      </c>
      <c r="J15" s="154"/>
      <c r="L15" s="3"/>
    </row>
    <row r="16" spans="1:15" x14ac:dyDescent="0.25">
      <c r="B16" s="93" t="s">
        <v>454</v>
      </c>
      <c r="C16" s="93" t="s">
        <v>452</v>
      </c>
      <c r="D16" s="304">
        <v>32535.71</v>
      </c>
      <c r="E16" s="5">
        <v>0</v>
      </c>
      <c r="F16" s="540">
        <f>+ED!H211+ED!J201</f>
        <v>32535.711666666666</v>
      </c>
      <c r="G16" s="564">
        <f>+D16+E16-F16</f>
        <v>-1.6666666670062114E-3</v>
      </c>
      <c r="J16" s="305"/>
      <c r="L16" s="154"/>
      <c r="M16" s="1"/>
      <c r="N16" s="1"/>
      <c r="O16" s="1"/>
    </row>
    <row r="17" spans="2:14" x14ac:dyDescent="0.25">
      <c r="B17" s="93" t="s">
        <v>455</v>
      </c>
      <c r="C17" s="93" t="s">
        <v>453</v>
      </c>
      <c r="D17" s="304">
        <v>183086.10833333334</v>
      </c>
      <c r="E17" s="96">
        <f>+ED!H269</f>
        <v>0</v>
      </c>
      <c r="F17" s="540">
        <f>+ED!J215</f>
        <v>30514.350833333334</v>
      </c>
      <c r="G17" s="564">
        <f>+D17+E17-F17</f>
        <v>152571.75750000001</v>
      </c>
      <c r="H17" s="236"/>
      <c r="I17" s="236"/>
      <c r="J17" s="155"/>
      <c r="K17" s="155"/>
      <c r="M17" s="3"/>
    </row>
    <row r="18" spans="2:14" ht="18.75" x14ac:dyDescent="0.3">
      <c r="B18" s="93" t="s">
        <v>499</v>
      </c>
      <c r="C18" s="93" t="s">
        <v>694</v>
      </c>
      <c r="D18" s="304">
        <v>54250.03</v>
      </c>
      <c r="E18" s="304">
        <v>0</v>
      </c>
      <c r="F18" s="539">
        <v>19682.919999999998</v>
      </c>
      <c r="G18" s="564">
        <f>+D18+E18-F18</f>
        <v>34567.11</v>
      </c>
      <c r="H18" s="360">
        <f>SUM(G15:G18)</f>
        <v>230256.36583333334</v>
      </c>
      <c r="I18" s="809"/>
      <c r="J18" s="305">
        <f>+D20-G20</f>
        <v>2482745.5300000086</v>
      </c>
      <c r="K18" s="154"/>
      <c r="L18" s="801">
        <f>+D20+E22</f>
        <v>35281682.920000009</v>
      </c>
      <c r="M18" s="3"/>
    </row>
    <row r="19" spans="2:14" x14ac:dyDescent="0.25">
      <c r="B19" s="93" t="s">
        <v>456</v>
      </c>
      <c r="C19" s="93" t="s">
        <v>4</v>
      </c>
      <c r="D19" s="95">
        <v>1102461.3600000001</v>
      </c>
      <c r="E19" s="95">
        <v>0</v>
      </c>
      <c r="F19" s="95">
        <v>0</v>
      </c>
      <c r="G19" s="565">
        <f t="shared" si="0"/>
        <v>1102461.3600000001</v>
      </c>
      <c r="H19" s="237"/>
      <c r="I19" s="237"/>
      <c r="J19" s="802">
        <f>+G20+G27</f>
        <v>35475232.339999996</v>
      </c>
      <c r="K19" s="159">
        <v>35475232.340000004</v>
      </c>
      <c r="L19" s="275">
        <f>+J19-K19</f>
        <v>0</v>
      </c>
    </row>
    <row r="20" spans="2:14" ht="18.75" customHeight="1" x14ac:dyDescent="0.25">
      <c r="B20" s="97"/>
      <c r="C20" s="98" t="s">
        <v>3</v>
      </c>
      <c r="D20" s="99">
        <f>SUM(D21:D26)</f>
        <v>35032977.860000007</v>
      </c>
      <c r="E20" s="99">
        <f>SUM(E21:E26)</f>
        <v>461640</v>
      </c>
      <c r="F20" s="99">
        <f>SUM(F21:F26)</f>
        <v>2944385.5300000003</v>
      </c>
      <c r="G20" s="99">
        <f>SUM(G21:G26)</f>
        <v>32550232.329999998</v>
      </c>
      <c r="H20" s="296">
        <f>+G20+G29</f>
        <v>5326984.1599999964</v>
      </c>
      <c r="I20" s="810"/>
      <c r="J20" s="275">
        <v>5326984.1399999997</v>
      </c>
      <c r="K20" s="275">
        <f>+H20-J20</f>
        <v>1.999999675899744E-2</v>
      </c>
      <c r="L20" s="65"/>
    </row>
    <row r="21" spans="2:14" x14ac:dyDescent="0.25">
      <c r="B21" s="100" t="s">
        <v>468</v>
      </c>
      <c r="C21" s="533" t="s">
        <v>166</v>
      </c>
      <c r="D21" s="95">
        <v>14132118.27</v>
      </c>
      <c r="E21" s="95">
        <v>0</v>
      </c>
      <c r="F21" s="95">
        <v>0</v>
      </c>
      <c r="G21" s="539">
        <f>+D21+E21-F21</f>
        <v>14132118.27</v>
      </c>
      <c r="H21" s="99">
        <f>+H20+H27</f>
        <v>6789484.6699999962</v>
      </c>
      <c r="I21" s="811"/>
      <c r="J21" s="65">
        <f t="shared" ref="J21:J26" si="1">+G21+G30</f>
        <v>1634244.3299999963</v>
      </c>
      <c r="K21" s="65">
        <f>1634242.33+2</f>
        <v>1634244.33</v>
      </c>
      <c r="L21" s="156">
        <f t="shared" ref="L21:L26" si="2">+J21-K21</f>
        <v>-3.7252902984619141E-9</v>
      </c>
      <c r="N21" s="5"/>
    </row>
    <row r="22" spans="2:14" x14ac:dyDescent="0.25">
      <c r="B22" s="100" t="s">
        <v>469</v>
      </c>
      <c r="C22" s="100" t="s">
        <v>167</v>
      </c>
      <c r="D22" s="95">
        <v>8492115.8599999994</v>
      </c>
      <c r="E22" s="303">
        <f>+ED!H435</f>
        <v>248705.06</v>
      </c>
      <c r="F22" s="95">
        <f>+ED!J254</f>
        <v>2134289.2200000002</v>
      </c>
      <c r="G22" s="539">
        <f>+D22+E22-F22</f>
        <v>6606531.6999999993</v>
      </c>
      <c r="H22" s="35"/>
      <c r="I22" s="35"/>
      <c r="J22" s="65">
        <f t="shared" si="1"/>
        <v>659170.36000000034</v>
      </c>
      <c r="K22" s="228">
        <v>659170.36</v>
      </c>
      <c r="L22" s="156">
        <f t="shared" si="2"/>
        <v>0</v>
      </c>
      <c r="N22" s="3"/>
    </row>
    <row r="23" spans="2:14" x14ac:dyDescent="0.25">
      <c r="B23" s="100" t="s">
        <v>470</v>
      </c>
      <c r="C23" s="100" t="s">
        <v>170</v>
      </c>
      <c r="D23" s="95">
        <v>575558</v>
      </c>
      <c r="E23" s="304">
        <f>+ED!H248</f>
        <v>16284.06</v>
      </c>
      <c r="F23" s="304">
        <v>0</v>
      </c>
      <c r="G23" s="539">
        <f t="shared" ref="G23:G26" si="3">+D23+E23-F23</f>
        <v>591842.06000000006</v>
      </c>
      <c r="H23" s="35"/>
      <c r="I23" s="35"/>
      <c r="J23" s="154">
        <f t="shared" si="1"/>
        <v>81553.939999999944</v>
      </c>
      <c r="K23" s="228">
        <f>34522.71+47031.23</f>
        <v>81553.94</v>
      </c>
      <c r="L23" s="156">
        <f t="shared" si="2"/>
        <v>0</v>
      </c>
    </row>
    <row r="24" spans="2:14" x14ac:dyDescent="0.25">
      <c r="B24" s="100" t="s">
        <v>471</v>
      </c>
      <c r="C24" s="100" t="s">
        <v>587</v>
      </c>
      <c r="D24" s="95">
        <v>10208465.080000002</v>
      </c>
      <c r="E24" s="304">
        <f>+ED!H433</f>
        <v>0</v>
      </c>
      <c r="F24" s="304">
        <f>+ED!J256</f>
        <v>573985.18999999994</v>
      </c>
      <c r="G24" s="304">
        <f t="shared" si="3"/>
        <v>9634479.8900000025</v>
      </c>
      <c r="H24" s="35"/>
      <c r="I24" s="35"/>
      <c r="J24" s="157">
        <f t="shared" si="1"/>
        <v>2909081.9700000025</v>
      </c>
      <c r="K24" s="228">
        <f>1776624.01+83988.31+1019573.42+28896.23</f>
        <v>2909081.97</v>
      </c>
      <c r="L24" s="156">
        <f t="shared" si="2"/>
        <v>0</v>
      </c>
    </row>
    <row r="25" spans="2:14" x14ac:dyDescent="0.25">
      <c r="B25" s="100" t="s">
        <v>473</v>
      </c>
      <c r="C25" s="100" t="s">
        <v>168</v>
      </c>
      <c r="D25" s="95">
        <v>1295865.95</v>
      </c>
      <c r="E25" s="304">
        <f>+ED!H250</f>
        <v>196650.88</v>
      </c>
      <c r="F25" s="304">
        <v>0</v>
      </c>
      <c r="G25" s="539">
        <f t="shared" si="3"/>
        <v>1492516.83</v>
      </c>
      <c r="H25" s="35"/>
      <c r="I25" s="35"/>
      <c r="J25" s="154">
        <f t="shared" si="1"/>
        <v>35881.550000000279</v>
      </c>
      <c r="K25" s="228">
        <v>35881.550000000003</v>
      </c>
      <c r="L25" s="156">
        <f t="shared" si="2"/>
        <v>2.7648638933897018E-10</v>
      </c>
    </row>
    <row r="26" spans="2:14" ht="14.25" customHeight="1" x14ac:dyDescent="0.25">
      <c r="B26" s="100" t="s">
        <v>472</v>
      </c>
      <c r="C26" s="100" t="s">
        <v>169</v>
      </c>
      <c r="D26" s="95">
        <v>328854.7</v>
      </c>
      <c r="E26" s="304">
        <f>+ED!H454</f>
        <v>0</v>
      </c>
      <c r="F26" s="304">
        <f>+ED!J258</f>
        <v>236111.12</v>
      </c>
      <c r="G26" s="539">
        <f t="shared" si="3"/>
        <v>92743.580000000016</v>
      </c>
      <c r="H26" s="35"/>
      <c r="I26" s="35"/>
      <c r="J26" s="65">
        <f t="shared" si="1"/>
        <v>7052.0099999998929</v>
      </c>
      <c r="K26" s="228">
        <v>7052.01</v>
      </c>
      <c r="L26" s="154">
        <f t="shared" si="2"/>
        <v>-1.0732037480920553E-10</v>
      </c>
    </row>
    <row r="27" spans="2:14" ht="18.75" customHeight="1" x14ac:dyDescent="0.25">
      <c r="B27" s="97"/>
      <c r="C27" s="98" t="s">
        <v>630</v>
      </c>
      <c r="D27" s="99">
        <f>+D28</f>
        <v>2925000.01</v>
      </c>
      <c r="E27" s="99">
        <f>SUM(E28)</f>
        <v>0</v>
      </c>
      <c r="F27" s="99">
        <f>SUM(F28)</f>
        <v>0</v>
      </c>
      <c r="G27" s="99">
        <f>SUM(G28)</f>
        <v>2925000.01</v>
      </c>
      <c r="H27" s="296">
        <f>+G27+G36</f>
        <v>1462500.5099999998</v>
      </c>
      <c r="I27" s="810"/>
      <c r="J27" s="275">
        <f>SUM(J21:J26)</f>
        <v>5326984.16</v>
      </c>
      <c r="K27" s="275">
        <f>SUM(K21:K26)</f>
        <v>5326984.1599999992</v>
      </c>
      <c r="L27" s="65"/>
    </row>
    <row r="28" spans="2:14" ht="18.75" customHeight="1" x14ac:dyDescent="0.25">
      <c r="B28" s="100"/>
      <c r="C28" s="534" t="s">
        <v>631</v>
      </c>
      <c r="D28" s="95">
        <v>2925000.01</v>
      </c>
      <c r="E28" s="95">
        <v>0</v>
      </c>
      <c r="F28" s="95">
        <v>0</v>
      </c>
      <c r="G28" s="196">
        <f>+D28+E28-F28</f>
        <v>2925000.01</v>
      </c>
      <c r="H28" s="273"/>
      <c r="I28" s="273"/>
      <c r="J28" s="275"/>
      <c r="K28" s="275">
        <f>+J27-K27</f>
        <v>0</v>
      </c>
      <c r="L28" s="65"/>
    </row>
    <row r="29" spans="2:14" ht="18.75" customHeight="1" x14ac:dyDescent="0.25">
      <c r="B29" s="101"/>
      <c r="C29" s="102" t="s">
        <v>171</v>
      </c>
      <c r="D29" s="99">
        <f>SUM(D30:D35)</f>
        <v>-29783379.450000003</v>
      </c>
      <c r="E29" s="99">
        <f>SUM(E30:E35)</f>
        <v>3063948.16</v>
      </c>
      <c r="F29" s="542">
        <f>SUM(F30:F35)</f>
        <v>503816.88</v>
      </c>
      <c r="G29" s="99">
        <f>SUM(G30:G35)</f>
        <v>-27223248.170000002</v>
      </c>
      <c r="H29" s="365">
        <f>+F29+F36</f>
        <v>552566.91</v>
      </c>
      <c r="I29" s="365"/>
      <c r="J29" s="156">
        <f>+G29+G36</f>
        <v>-28685747.670000002</v>
      </c>
      <c r="K29" s="228"/>
    </row>
    <row r="30" spans="2:14" ht="15" customHeight="1" x14ac:dyDescent="0.25">
      <c r="B30" s="100" t="s">
        <v>462</v>
      </c>
      <c r="C30" s="532" t="s">
        <v>258</v>
      </c>
      <c r="D30" s="196">
        <v>-12441521.250000002</v>
      </c>
      <c r="E30" s="304">
        <f>+ED!H246</f>
        <v>0.28999999999999998</v>
      </c>
      <c r="F30" s="327">
        <f>+ED!J227</f>
        <v>56352.98</v>
      </c>
      <c r="G30" s="539">
        <f>D30+E30-F30</f>
        <v>-12497873.940000003</v>
      </c>
      <c r="H30" s="35"/>
      <c r="I30" s="35"/>
      <c r="J30" s="65">
        <f>+J19+J29</f>
        <v>6789484.6699999943</v>
      </c>
      <c r="K30" s="228"/>
      <c r="L30" s="559"/>
      <c r="M30" s="1"/>
      <c r="N30" s="3"/>
    </row>
    <row r="31" spans="2:14" x14ac:dyDescent="0.25">
      <c r="B31" s="100" t="s">
        <v>463</v>
      </c>
      <c r="C31" s="100" t="s">
        <v>172</v>
      </c>
      <c r="D31" s="196">
        <v>-8048112.2999999998</v>
      </c>
      <c r="E31" s="304">
        <f>+ED!H247</f>
        <v>2137988.9300000002</v>
      </c>
      <c r="F31" s="327">
        <f>+ED!J228</f>
        <v>37237.97</v>
      </c>
      <c r="G31" s="539">
        <f t="shared" ref="G31:G37" si="4">D31+E31-F31</f>
        <v>-5947361.3399999989</v>
      </c>
      <c r="H31" s="233"/>
      <c r="I31" s="233"/>
      <c r="J31" s="154"/>
      <c r="K31" s="228"/>
      <c r="L31" s="559"/>
      <c r="M31" s="1"/>
      <c r="N31" s="3"/>
    </row>
    <row r="32" spans="2:14" x14ac:dyDescent="0.25">
      <c r="B32" s="100" t="s">
        <v>465</v>
      </c>
      <c r="C32" s="100" t="s">
        <v>547</v>
      </c>
      <c r="D32" s="196">
        <v>-496098.8000000001</v>
      </c>
      <c r="E32" s="304">
        <v>0</v>
      </c>
      <c r="F32" s="327">
        <f>+ED!J229+ED!J255</f>
        <v>14189.32</v>
      </c>
      <c r="G32" s="539">
        <f t="shared" si="4"/>
        <v>-510288.12000000011</v>
      </c>
      <c r="J32" s="305"/>
      <c r="K32" s="228"/>
      <c r="L32" s="65"/>
      <c r="M32" s="1"/>
      <c r="N32" s="3"/>
    </row>
    <row r="33" spans="2:14" s="78" customFormat="1" x14ac:dyDescent="0.25">
      <c r="B33" s="100" t="s">
        <v>464</v>
      </c>
      <c r="C33" s="100" t="s">
        <v>173</v>
      </c>
      <c r="D33" s="196">
        <v>-7354736.7700000005</v>
      </c>
      <c r="E33" s="95">
        <f>+ED!H249</f>
        <v>698057.28</v>
      </c>
      <c r="F33" s="327">
        <f>+ED!J230</f>
        <v>68718.430000000008</v>
      </c>
      <c r="G33" s="95">
        <f t="shared" si="4"/>
        <v>-6725397.9199999999</v>
      </c>
      <c r="H33" s="166"/>
      <c r="I33" s="166"/>
      <c r="J33" s="20"/>
      <c r="K33" s="228"/>
      <c r="L33"/>
      <c r="M33" s="226"/>
      <c r="N33" s="227"/>
    </row>
    <row r="34" spans="2:14" s="78" customFormat="1" x14ac:dyDescent="0.25">
      <c r="B34" s="100" t="s">
        <v>467</v>
      </c>
      <c r="C34" s="100" t="s">
        <v>174</v>
      </c>
      <c r="D34" s="196">
        <v>-1130377.9999999998</v>
      </c>
      <c r="E34" s="95">
        <v>0</v>
      </c>
      <c r="F34" s="327">
        <f>+ED!J231+ED!J257</f>
        <v>326257.27999999997</v>
      </c>
      <c r="G34" s="539">
        <f t="shared" si="4"/>
        <v>-1456635.2799999998</v>
      </c>
      <c r="H34" s="166"/>
      <c r="I34" s="166"/>
      <c r="J34" s="20"/>
      <c r="K34" s="228"/>
      <c r="L34" s="5"/>
      <c r="M34" s="226"/>
      <c r="N34" s="227"/>
    </row>
    <row r="35" spans="2:14" x14ac:dyDescent="0.25">
      <c r="B35" s="100" t="s">
        <v>466</v>
      </c>
      <c r="C35" s="100" t="s">
        <v>175</v>
      </c>
      <c r="D35" s="196">
        <v>-312532.33000000013</v>
      </c>
      <c r="E35" s="95">
        <f>+ED!H251</f>
        <v>227901.66</v>
      </c>
      <c r="F35" s="327">
        <f>+ED!J232</f>
        <v>1060.9000000000001</v>
      </c>
      <c r="G35" s="539">
        <f t="shared" si="4"/>
        <v>-85691.570000000123</v>
      </c>
      <c r="K35" s="228"/>
      <c r="L35" s="156"/>
      <c r="M35" s="1"/>
      <c r="N35" s="3"/>
    </row>
    <row r="36" spans="2:14" ht="18.75" customHeight="1" x14ac:dyDescent="0.25">
      <c r="B36" s="101"/>
      <c r="C36" s="102" t="s">
        <v>171</v>
      </c>
      <c r="D36" s="99">
        <f>SUM(D37)</f>
        <v>-1413749.47</v>
      </c>
      <c r="E36" s="99">
        <f t="shared" ref="E36:G36" si="5">SUM(E37)</f>
        <v>0</v>
      </c>
      <c r="F36" s="99">
        <f>SUM(F37)</f>
        <v>48750.030000000006</v>
      </c>
      <c r="G36" s="99">
        <f t="shared" si="5"/>
        <v>-1462499.5</v>
      </c>
      <c r="H36" s="233">
        <f>+G27+G36</f>
        <v>1462500.5099999998</v>
      </c>
      <c r="I36" s="233"/>
      <c r="J36" s="154">
        <v>1462500.51</v>
      </c>
      <c r="K36" s="228"/>
      <c r="L36" s="65">
        <f>+K27+J36</f>
        <v>6789484.669999999</v>
      </c>
    </row>
    <row r="37" spans="2:14" ht="18.75" customHeight="1" x14ac:dyDescent="0.25">
      <c r="B37" s="93"/>
      <c r="C37" s="533" t="s">
        <v>632</v>
      </c>
      <c r="D37" s="196">
        <v>-1413749.47</v>
      </c>
      <c r="E37" s="196">
        <v>0</v>
      </c>
      <c r="F37" s="541">
        <f>+ED!J221+ED!J259</f>
        <v>48750.030000000006</v>
      </c>
      <c r="G37" s="103">
        <f t="shared" si="4"/>
        <v>-1462499.5</v>
      </c>
      <c r="H37" s="233"/>
      <c r="I37" s="233"/>
      <c r="J37" s="154">
        <f>+H36-J36</f>
        <v>0</v>
      </c>
      <c r="K37" s="228"/>
    </row>
    <row r="38" spans="2:14" ht="18" customHeight="1" x14ac:dyDescent="0.25">
      <c r="B38" s="99"/>
      <c r="C38" s="99" t="s">
        <v>89</v>
      </c>
      <c r="D38" s="99">
        <f>+D39+D52+D56</f>
        <v>12365376.710000001</v>
      </c>
      <c r="E38" s="99">
        <f>+E39+E52+E56</f>
        <v>399826.44999999995</v>
      </c>
      <c r="F38" s="99">
        <f>+F39+F52+F56</f>
        <v>1097365.3799999999</v>
      </c>
      <c r="G38" s="99">
        <f>+G39+G52+G56</f>
        <v>13062915.640000001</v>
      </c>
      <c r="H38" s="238"/>
      <c r="I38" s="238"/>
      <c r="J38" s="154"/>
      <c r="K38" s="228"/>
      <c r="L38" s="279"/>
    </row>
    <row r="39" spans="2:14" x14ac:dyDescent="0.25">
      <c r="B39" s="99"/>
      <c r="C39" s="102" t="s">
        <v>2</v>
      </c>
      <c r="D39" s="99">
        <f>SUM(D40:D51)</f>
        <v>12365376.710000001</v>
      </c>
      <c r="E39" s="99">
        <f>SUM(E40:E51)</f>
        <v>399826.44999999995</v>
      </c>
      <c r="F39" s="99">
        <f>SUM(F40:F51)</f>
        <v>1097365.3799999999</v>
      </c>
      <c r="G39" s="99">
        <f>SUM(G40:G51)</f>
        <v>13062915.640000001</v>
      </c>
      <c r="H39" s="147"/>
      <c r="I39" s="147"/>
      <c r="J39" s="157"/>
      <c r="K39" s="228"/>
      <c r="L39" s="280"/>
    </row>
    <row r="40" spans="2:14" ht="18" customHeight="1" x14ac:dyDescent="0.25">
      <c r="B40" s="93"/>
      <c r="C40" s="195" t="s">
        <v>548</v>
      </c>
      <c r="D40" s="95">
        <v>0</v>
      </c>
      <c r="E40" s="104">
        <v>0</v>
      </c>
      <c r="F40" s="95">
        <v>0</v>
      </c>
      <c r="G40" s="95">
        <f>+D40-E40+F40</f>
        <v>0</v>
      </c>
      <c r="H40" s="147"/>
      <c r="I40" s="147"/>
      <c r="J40" s="157"/>
      <c r="K40" s="228"/>
      <c r="L40" s="154"/>
    </row>
    <row r="41" spans="2:14" ht="24.75" x14ac:dyDescent="0.25">
      <c r="B41" s="93" t="s">
        <v>489</v>
      </c>
      <c r="C41" s="277" t="s">
        <v>488</v>
      </c>
      <c r="D41" s="95">
        <v>-7.2759576141834259E-12</v>
      </c>
      <c r="E41" s="95">
        <v>0</v>
      </c>
      <c r="F41" s="95">
        <v>0</v>
      </c>
      <c r="G41" s="96">
        <f>+D41-E41+F41</f>
        <v>-7.2759576141834259E-12</v>
      </c>
      <c r="H41" s="814"/>
      <c r="I41" s="238"/>
      <c r="J41" s="157"/>
      <c r="K41" s="228"/>
      <c r="L41" s="154"/>
    </row>
    <row r="42" spans="2:14" ht="24.75" x14ac:dyDescent="0.25">
      <c r="B42" s="93" t="s">
        <v>482</v>
      </c>
      <c r="C42" s="111" t="s">
        <v>483</v>
      </c>
      <c r="D42" s="95">
        <v>0</v>
      </c>
      <c r="E42" s="95">
        <v>0</v>
      </c>
      <c r="F42" s="95">
        <v>0</v>
      </c>
      <c r="G42" s="95">
        <f>+D42-E42+F42</f>
        <v>0</v>
      </c>
      <c r="K42" s="228"/>
      <c r="L42" s="157"/>
    </row>
    <row r="43" spans="2:14" ht="18" customHeight="1" x14ac:dyDescent="0.25">
      <c r="B43" s="93" t="s">
        <v>487</v>
      </c>
      <c r="C43" s="112" t="s">
        <v>485</v>
      </c>
      <c r="D43" s="95">
        <v>5.8207660913467407E-11</v>
      </c>
      <c r="E43" s="104">
        <v>0</v>
      </c>
      <c r="F43" s="104">
        <v>0</v>
      </c>
      <c r="G43" s="95">
        <f>+D43-E43+F43</f>
        <v>5.8207660913467407E-11</v>
      </c>
      <c r="H43" s="224"/>
      <c r="I43" s="224"/>
      <c r="J43" s="219"/>
      <c r="K43" s="228"/>
      <c r="L43" s="154"/>
    </row>
    <row r="44" spans="2:14" ht="18" customHeight="1" x14ac:dyDescent="0.25">
      <c r="B44" s="93" t="s">
        <v>481</v>
      </c>
      <c r="C44" s="195" t="s">
        <v>484</v>
      </c>
      <c r="D44" s="95">
        <v>0</v>
      </c>
      <c r="E44" s="95">
        <v>0</v>
      </c>
      <c r="F44" s="95">
        <v>0</v>
      </c>
      <c r="G44" s="95">
        <f>+D44-E44+F44</f>
        <v>0</v>
      </c>
      <c r="H44" s="147"/>
      <c r="I44" s="147"/>
      <c r="J44" s="157"/>
      <c r="K44" s="228"/>
      <c r="L44" s="154"/>
    </row>
    <row r="45" spans="2:14" ht="24.75" x14ac:dyDescent="0.25">
      <c r="B45" s="93" t="s">
        <v>493</v>
      </c>
      <c r="C45" s="195" t="s">
        <v>494</v>
      </c>
      <c r="D45" s="95">
        <v>0</v>
      </c>
      <c r="E45" s="95">
        <v>0</v>
      </c>
      <c r="F45" s="95">
        <v>0</v>
      </c>
      <c r="G45" s="95">
        <f t="shared" ref="G45:G47" si="6">+D45-E45+F45</f>
        <v>0</v>
      </c>
      <c r="H45" s="147"/>
      <c r="I45" s="147"/>
      <c r="J45" s="157"/>
      <c r="K45" s="228"/>
      <c r="L45" s="154"/>
      <c r="M45" s="5"/>
    </row>
    <row r="46" spans="2:14" ht="24" x14ac:dyDescent="0.25">
      <c r="B46" s="93" t="s">
        <v>490</v>
      </c>
      <c r="C46" s="537" t="s">
        <v>491</v>
      </c>
      <c r="D46" s="95">
        <v>29024.560000000001</v>
      </c>
      <c r="E46" s="95">
        <f>+'Pago Mayo'!G26+'Pago Mayo'!G29+114.84</f>
        <v>29024.560000000001</v>
      </c>
      <c r="F46" s="95">
        <v>0</v>
      </c>
      <c r="G46" s="303">
        <f t="shared" si="6"/>
        <v>0</v>
      </c>
      <c r="H46" s="147"/>
      <c r="I46" s="147"/>
      <c r="J46" s="157"/>
      <c r="K46" s="228"/>
      <c r="L46" s="154"/>
    </row>
    <row r="47" spans="2:14" ht="17.25" customHeight="1" x14ac:dyDescent="0.25">
      <c r="B47" s="93" t="s">
        <v>479</v>
      </c>
      <c r="C47" s="195" t="s">
        <v>480</v>
      </c>
      <c r="D47" s="95">
        <v>12005283.84</v>
      </c>
      <c r="E47" s="95">
        <f>+'Pago Mayo'!G23+'Pago Mayo'!G24+'Pago Mayo'!G25+'Pago Mayo'!G28</f>
        <v>109557.69</v>
      </c>
      <c r="F47" s="95">
        <f>+ED!J370</f>
        <v>1076442.92</v>
      </c>
      <c r="G47" s="303">
        <f t="shared" si="6"/>
        <v>12972169.07</v>
      </c>
      <c r="H47" s="147"/>
      <c r="I47" s="147"/>
      <c r="J47" s="157"/>
      <c r="K47" s="228"/>
      <c r="L47" s="154"/>
      <c r="M47" s="1"/>
    </row>
    <row r="48" spans="2:14" ht="24" x14ac:dyDescent="0.25">
      <c r="B48" s="93" t="s">
        <v>495</v>
      </c>
      <c r="C48" s="538" t="s">
        <v>496</v>
      </c>
      <c r="D48" s="95">
        <v>66544.009999999995</v>
      </c>
      <c r="E48" s="95">
        <v>0</v>
      </c>
      <c r="F48" s="95">
        <v>0</v>
      </c>
      <c r="G48" s="303">
        <f>+D48-E48+F48</f>
        <v>66544.009999999995</v>
      </c>
      <c r="H48" s="234"/>
      <c r="I48" s="234"/>
      <c r="J48" s="155"/>
      <c r="K48" s="228"/>
      <c r="L48" s="154"/>
    </row>
    <row r="49" spans="2:12" ht="15" customHeight="1" x14ac:dyDescent="0.25">
      <c r="B49" s="93"/>
      <c r="C49" s="213" t="s">
        <v>594</v>
      </c>
      <c r="D49" s="95">
        <v>0</v>
      </c>
      <c r="E49" s="95">
        <v>0</v>
      </c>
      <c r="F49" s="95">
        <v>0</v>
      </c>
      <c r="G49" s="303">
        <f>+D49-E49+F49</f>
        <v>0</v>
      </c>
      <c r="H49" s="234"/>
      <c r="I49" s="234"/>
      <c r="J49" s="155"/>
      <c r="K49" s="228"/>
      <c r="L49" s="154"/>
    </row>
    <row r="50" spans="2:12" x14ac:dyDescent="0.25">
      <c r="B50" s="93" t="s">
        <v>497</v>
      </c>
      <c r="C50" s="214" t="s">
        <v>498</v>
      </c>
      <c r="D50" s="95">
        <v>25097.5</v>
      </c>
      <c r="E50" s="95">
        <f>+ED!H167</f>
        <v>21817.4</v>
      </c>
      <c r="F50" s="95">
        <f>+ED!J171</f>
        <v>20922.46</v>
      </c>
      <c r="G50" s="96">
        <f t="shared" ref="G50:G51" si="7">+D50-E50+F50</f>
        <v>24202.559999999998</v>
      </c>
      <c r="H50" s="275"/>
      <c r="I50" s="275"/>
      <c r="J50" s="155"/>
      <c r="K50" s="228"/>
      <c r="L50" s="154"/>
    </row>
    <row r="51" spans="2:12" ht="18" customHeight="1" x14ac:dyDescent="0.25">
      <c r="B51" s="151" t="s">
        <v>478</v>
      </c>
      <c r="C51" s="138" t="s">
        <v>486</v>
      </c>
      <c r="D51" s="95">
        <v>239426.8</v>
      </c>
      <c r="E51" s="95">
        <f>+'Pago Mayo'!G27</f>
        <v>239426.8</v>
      </c>
      <c r="F51" s="95">
        <v>0</v>
      </c>
      <c r="G51" s="96">
        <f t="shared" si="7"/>
        <v>0</v>
      </c>
      <c r="K51" s="228"/>
    </row>
    <row r="52" spans="2:12" x14ac:dyDescent="0.25">
      <c r="B52" s="102"/>
      <c r="C52" s="102" t="s">
        <v>520</v>
      </c>
      <c r="D52" s="99">
        <f>SUM(D53:D55)</f>
        <v>0</v>
      </c>
      <c r="E52" s="99">
        <f>SUM(E53:E55)</f>
        <v>0</v>
      </c>
      <c r="F52" s="99">
        <f t="shared" ref="F52:G52" si="8">SUM(F53:F55)</f>
        <v>0</v>
      </c>
      <c r="G52" s="99">
        <f t="shared" si="8"/>
        <v>0</v>
      </c>
      <c r="H52" s="233"/>
      <c r="I52" s="233"/>
      <c r="J52" s="154"/>
      <c r="K52" s="228"/>
    </row>
    <row r="53" spans="2:12" ht="17.25" customHeight="1" x14ac:dyDescent="0.25">
      <c r="B53" s="151" t="s">
        <v>492</v>
      </c>
      <c r="C53" s="93" t="s">
        <v>160</v>
      </c>
      <c r="D53" s="304">
        <v>0</v>
      </c>
      <c r="E53" s="95">
        <v>0</v>
      </c>
      <c r="F53" s="95">
        <v>0</v>
      </c>
      <c r="G53" s="95">
        <f>+D53-E53+F53</f>
        <v>0</v>
      </c>
      <c r="K53" s="228"/>
    </row>
    <row r="54" spans="2:12" x14ac:dyDescent="0.25">
      <c r="B54" s="93" t="s">
        <v>474</v>
      </c>
      <c r="C54" s="93" t="s">
        <v>27</v>
      </c>
      <c r="D54" s="95">
        <v>0</v>
      </c>
      <c r="E54" s="95">
        <v>0</v>
      </c>
      <c r="F54" s="95">
        <f>+ED!J170</f>
        <v>0</v>
      </c>
      <c r="G54" s="95">
        <f t="shared" ref="G54:G56" si="9">+D54-E54+F54</f>
        <v>0</v>
      </c>
      <c r="K54" s="228"/>
    </row>
    <row r="55" spans="2:12" x14ac:dyDescent="0.25">
      <c r="B55" s="151" t="s">
        <v>475</v>
      </c>
      <c r="C55" s="93" t="s">
        <v>161</v>
      </c>
      <c r="D55" s="95">
        <v>0</v>
      </c>
      <c r="E55" s="95">
        <v>0</v>
      </c>
      <c r="F55" s="95">
        <v>0</v>
      </c>
      <c r="G55" s="95">
        <f t="shared" si="9"/>
        <v>0</v>
      </c>
      <c r="K55" s="228"/>
    </row>
    <row r="56" spans="2:12" x14ac:dyDescent="0.25">
      <c r="B56" s="102" t="s">
        <v>476</v>
      </c>
      <c r="C56" s="102" t="s">
        <v>73</v>
      </c>
      <c r="D56" s="99">
        <v>0</v>
      </c>
      <c r="E56" s="99">
        <v>0</v>
      </c>
      <c r="F56" s="99">
        <v>0</v>
      </c>
      <c r="G56" s="99">
        <f t="shared" si="9"/>
        <v>0</v>
      </c>
      <c r="K56" s="228"/>
    </row>
    <row r="57" spans="2:12" x14ac:dyDescent="0.25">
      <c r="B57" s="102"/>
      <c r="C57" s="102" t="s">
        <v>1</v>
      </c>
      <c r="D57" s="99">
        <f>SUM(D58)</f>
        <v>11810566.73</v>
      </c>
      <c r="E57" s="99">
        <f>+E58</f>
        <v>0</v>
      </c>
      <c r="F57" s="99">
        <f t="shared" ref="F57:G57" si="10">+F58</f>
        <v>0</v>
      </c>
      <c r="G57" s="99">
        <f t="shared" si="10"/>
        <v>11810566.73</v>
      </c>
      <c r="K57" s="228"/>
    </row>
    <row r="58" spans="2:12" ht="15.75" customHeight="1" x14ac:dyDescent="0.25">
      <c r="B58" s="93" t="s">
        <v>477</v>
      </c>
      <c r="C58" s="93" t="s">
        <v>1</v>
      </c>
      <c r="D58" s="304">
        <v>11810566.73</v>
      </c>
      <c r="E58" s="95">
        <v>0</v>
      </c>
      <c r="F58" s="95">
        <v>0</v>
      </c>
      <c r="G58" s="103">
        <f>D58-E58+F58</f>
        <v>11810566.73</v>
      </c>
      <c r="K58" s="228"/>
    </row>
    <row r="59" spans="2:12" ht="18.75" customHeight="1" x14ac:dyDescent="0.25">
      <c r="B59" s="102"/>
      <c r="C59" s="102" t="s">
        <v>98</v>
      </c>
      <c r="D59" s="99">
        <f>+D38+D57</f>
        <v>24175943.440000001</v>
      </c>
      <c r="E59" s="99">
        <f>+E38+E57</f>
        <v>399826.44999999995</v>
      </c>
      <c r="F59" s="99">
        <f>+F38+F57</f>
        <v>1097365.3799999999</v>
      </c>
      <c r="G59" s="99">
        <f>+G38+G57</f>
        <v>24873482.370000001</v>
      </c>
      <c r="H59" s="233"/>
      <c r="I59" s="233"/>
      <c r="K59" s="228"/>
    </row>
    <row r="60" spans="2:12" ht="18.75" customHeight="1" x14ac:dyDescent="0.25">
      <c r="B60" s="99"/>
      <c r="C60" s="99" t="s">
        <v>87</v>
      </c>
      <c r="D60" s="99">
        <f>SUM(D61:D65)</f>
        <v>32403131.620000001</v>
      </c>
      <c r="E60" s="99">
        <f>SUM(E61:E65)</f>
        <v>0</v>
      </c>
      <c r="F60" s="99">
        <f>SUM(F61:F65)</f>
        <v>8257840.9199999999</v>
      </c>
      <c r="G60" s="99">
        <f>SUM(G61:G65)</f>
        <v>40660972.539999999</v>
      </c>
      <c r="K60" s="228"/>
      <c r="L60" s="65"/>
    </row>
    <row r="61" spans="2:12" ht="18" customHeight="1" x14ac:dyDescent="0.25">
      <c r="B61" s="93" t="s">
        <v>461</v>
      </c>
      <c r="C61" s="93" t="s">
        <v>28</v>
      </c>
      <c r="D61" s="95">
        <v>31692307.68</v>
      </c>
      <c r="E61" s="104">
        <v>0</v>
      </c>
      <c r="F61" s="539">
        <f>ED!J8+ED!J26</f>
        <v>8255126.9199999999</v>
      </c>
      <c r="G61" s="95">
        <f>+D61-E61+F61</f>
        <v>39947434.600000001</v>
      </c>
      <c r="K61" s="228"/>
    </row>
    <row r="62" spans="2:12" ht="26.25" customHeight="1" x14ac:dyDescent="0.25">
      <c r="B62" s="93" t="s">
        <v>459</v>
      </c>
      <c r="C62" s="110" t="s">
        <v>460</v>
      </c>
      <c r="D62" s="95">
        <v>556134</v>
      </c>
      <c r="E62" s="104">
        <f>+ED!H176</f>
        <v>0</v>
      </c>
      <c r="F62" s="96">
        <f>+ED!J79+ED!J85+ED!J91+ED!J97+ED!J103+ED!J109+ED!J115</f>
        <v>0</v>
      </c>
      <c r="G62" s="95">
        <f>+D62-E62+F62</f>
        <v>556134</v>
      </c>
      <c r="H62" s="239"/>
      <c r="I62" s="239"/>
      <c r="K62" s="228"/>
    </row>
    <row r="63" spans="2:12" ht="15.75" customHeight="1" x14ac:dyDescent="0.25">
      <c r="B63" s="151"/>
      <c r="C63" s="110" t="s">
        <v>74</v>
      </c>
      <c r="D63" s="95">
        <v>0</v>
      </c>
      <c r="E63" s="95">
        <v>0</v>
      </c>
      <c r="F63" s="95">
        <v>0</v>
      </c>
      <c r="G63" s="95">
        <f>+D63-E63+F63</f>
        <v>0</v>
      </c>
      <c r="K63" s="228"/>
    </row>
    <row r="64" spans="2:12" ht="17.25" customHeight="1" x14ac:dyDescent="0.25">
      <c r="B64" s="93"/>
      <c r="C64" s="110" t="s">
        <v>522</v>
      </c>
      <c r="D64" s="95">
        <v>138000</v>
      </c>
      <c r="E64" s="96">
        <v>0</v>
      </c>
      <c r="F64" s="95">
        <v>0</v>
      </c>
      <c r="G64" s="95">
        <f>+D64-E64+F64</f>
        <v>138000</v>
      </c>
      <c r="K64" s="228"/>
    </row>
    <row r="65" spans="2:12" ht="15" customHeight="1" x14ac:dyDescent="0.25">
      <c r="B65" s="93"/>
      <c r="C65" s="110" t="s">
        <v>588</v>
      </c>
      <c r="D65" s="95">
        <v>16689.939999999999</v>
      </c>
      <c r="E65" s="96">
        <v>0</v>
      </c>
      <c r="F65" s="96">
        <f>ED!J14+ED!J32</f>
        <v>2714</v>
      </c>
      <c r="G65" s="95">
        <f>+D65-E65+F65</f>
        <v>19403.939999999999</v>
      </c>
      <c r="K65" s="228"/>
    </row>
    <row r="66" spans="2:12" x14ac:dyDescent="0.25">
      <c r="B66" s="101"/>
      <c r="C66" s="102" t="s">
        <v>29</v>
      </c>
      <c r="D66" s="99">
        <f>+D67+D86+D127+D150+D151</f>
        <v>33122865.049999993</v>
      </c>
      <c r="E66" s="99">
        <f>+E67+E86+E127+E150+E151</f>
        <v>11256568.8675</v>
      </c>
      <c r="F66" s="99">
        <f>+F67+F86+F127+F150+F151</f>
        <v>114.85000000000001</v>
      </c>
      <c r="G66" s="99">
        <f>+G67+G86+G127+G150+G151</f>
        <v>44379319.067499988</v>
      </c>
      <c r="H66" s="35">
        <f>+D66+E66-F66</f>
        <v>44379319.067499988</v>
      </c>
      <c r="I66" s="35"/>
      <c r="K66" s="228"/>
    </row>
    <row r="67" spans="2:12" x14ac:dyDescent="0.25">
      <c r="B67" s="101"/>
      <c r="C67" s="102" t="s">
        <v>133</v>
      </c>
      <c r="D67" s="99">
        <f>SUM(D68:D85)</f>
        <v>18805934.579999998</v>
      </c>
      <c r="E67" s="99">
        <f>SUM(E68:E85)</f>
        <v>8171189.6699999999</v>
      </c>
      <c r="F67" s="99">
        <f>SUM(F69:F85)</f>
        <v>0</v>
      </c>
      <c r="G67" s="99">
        <f>SUM(G68:G85)</f>
        <v>26977124.25</v>
      </c>
      <c r="H67" s="35"/>
      <c r="I67" s="35"/>
      <c r="J67" s="233"/>
      <c r="K67" s="154"/>
      <c r="L67" s="154"/>
    </row>
    <row r="68" spans="2:12" x14ac:dyDescent="0.25">
      <c r="B68" s="93" t="s">
        <v>400</v>
      </c>
      <c r="C68" s="93" t="s">
        <v>133</v>
      </c>
      <c r="D68" s="95">
        <v>7259000</v>
      </c>
      <c r="E68" s="95">
        <f>+ED!H288</f>
        <v>1776500</v>
      </c>
      <c r="F68" s="95">
        <v>0</v>
      </c>
      <c r="G68" s="95">
        <f>+D68+E68-F68</f>
        <v>9035500</v>
      </c>
      <c r="J68" s="35"/>
      <c r="K68" s="65"/>
    </row>
    <row r="69" spans="2:12" x14ac:dyDescent="0.25">
      <c r="B69" s="93"/>
      <c r="C69" s="93" t="s">
        <v>389</v>
      </c>
      <c r="D69" s="95">
        <v>5808000</v>
      </c>
      <c r="E69" s="95">
        <f>+ED!H289</f>
        <v>1522000</v>
      </c>
      <c r="F69" s="95">
        <v>0</v>
      </c>
      <c r="G69" s="95">
        <f t="shared" ref="G69:G85" si="11">+D69+E69-F69</f>
        <v>7330000</v>
      </c>
      <c r="J69" s="166"/>
      <c r="K69" s="65"/>
    </row>
    <row r="70" spans="2:12" x14ac:dyDescent="0.25">
      <c r="B70" s="93"/>
      <c r="C70" s="93" t="s">
        <v>615</v>
      </c>
      <c r="D70" s="95">
        <v>340000</v>
      </c>
      <c r="E70" s="95">
        <f>+ED!H290</f>
        <v>75000</v>
      </c>
      <c r="F70" s="95">
        <v>0</v>
      </c>
      <c r="G70" s="95">
        <f t="shared" si="11"/>
        <v>415000</v>
      </c>
      <c r="K70" s="228"/>
    </row>
    <row r="71" spans="2:12" x14ac:dyDescent="0.25">
      <c r="B71" s="93"/>
      <c r="C71" s="93" t="s">
        <v>134</v>
      </c>
      <c r="D71" s="95">
        <v>770000</v>
      </c>
      <c r="E71" s="95">
        <f>+ED!H291</f>
        <v>140000</v>
      </c>
      <c r="F71" s="95">
        <f>+ED!I296</f>
        <v>0</v>
      </c>
      <c r="G71" s="95">
        <f t="shared" si="11"/>
        <v>910000</v>
      </c>
      <c r="K71" s="228"/>
    </row>
    <row r="72" spans="2:12" x14ac:dyDescent="0.25">
      <c r="B72" s="93" t="s">
        <v>404</v>
      </c>
      <c r="C72" s="93" t="s">
        <v>289</v>
      </c>
      <c r="D72" s="95">
        <v>0</v>
      </c>
      <c r="E72" s="95">
        <f>+ED!H297</f>
        <v>0</v>
      </c>
      <c r="F72" s="95">
        <f>+ED!I297</f>
        <v>0</v>
      </c>
      <c r="G72" s="95">
        <f t="shared" si="11"/>
        <v>0</v>
      </c>
      <c r="K72" s="228"/>
    </row>
    <row r="73" spans="2:12" x14ac:dyDescent="0.25">
      <c r="B73" s="93" t="s">
        <v>402</v>
      </c>
      <c r="C73" s="93" t="s">
        <v>163</v>
      </c>
      <c r="D73" s="95">
        <v>640000</v>
      </c>
      <c r="E73" s="616">
        <f>+ED!H300</f>
        <v>0</v>
      </c>
      <c r="F73" s="95">
        <f>+ED!I298</f>
        <v>0</v>
      </c>
      <c r="G73" s="95">
        <f t="shared" si="11"/>
        <v>640000</v>
      </c>
      <c r="K73" s="228"/>
    </row>
    <row r="74" spans="2:12" x14ac:dyDescent="0.25">
      <c r="B74" s="93" t="s">
        <v>403</v>
      </c>
      <c r="C74" s="93" t="s">
        <v>162</v>
      </c>
      <c r="D74" s="95">
        <v>429395.48</v>
      </c>
      <c r="E74" s="95">
        <f>+ED!H301</f>
        <v>41532.07</v>
      </c>
      <c r="F74" s="95">
        <f>+ED!I299</f>
        <v>0</v>
      </c>
      <c r="G74" s="95">
        <f t="shared" si="11"/>
        <v>470927.55</v>
      </c>
      <c r="K74" s="228"/>
    </row>
    <row r="75" spans="2:12" x14ac:dyDescent="0.25">
      <c r="B75" s="93" t="s">
        <v>401</v>
      </c>
      <c r="C75" s="93" t="s">
        <v>135</v>
      </c>
      <c r="D75" s="95">
        <v>1308000</v>
      </c>
      <c r="E75" s="95">
        <f>+ED!H292</f>
        <v>332000</v>
      </c>
      <c r="F75" s="95">
        <f>+ED!I301</f>
        <v>0</v>
      </c>
      <c r="G75" s="95">
        <f t="shared" si="11"/>
        <v>1640000</v>
      </c>
      <c r="H75" s="35"/>
      <c r="I75" s="35"/>
      <c r="J75" s="65"/>
      <c r="K75" s="228"/>
    </row>
    <row r="76" spans="2:12" x14ac:dyDescent="0.25">
      <c r="B76" s="93"/>
      <c r="C76" s="93" t="s">
        <v>678</v>
      </c>
      <c r="D76" s="95">
        <v>0</v>
      </c>
      <c r="E76" s="95">
        <f>+ED!H303</f>
        <v>0</v>
      </c>
      <c r="F76" s="95">
        <v>0</v>
      </c>
      <c r="G76" s="95">
        <f t="shared" si="11"/>
        <v>0</v>
      </c>
      <c r="H76" s="35"/>
      <c r="I76" s="35"/>
      <c r="J76" s="65"/>
      <c r="K76" s="228"/>
    </row>
    <row r="77" spans="2:12" x14ac:dyDescent="0.25">
      <c r="B77" s="93"/>
      <c r="C77" s="93" t="s">
        <v>518</v>
      </c>
      <c r="D77" s="95">
        <v>0</v>
      </c>
      <c r="E77" s="95">
        <f>+ED!H304</f>
        <v>3291583.33</v>
      </c>
      <c r="F77" s="95">
        <f>+ED!I302</f>
        <v>0</v>
      </c>
      <c r="G77" s="95">
        <f t="shared" si="11"/>
        <v>3291583.33</v>
      </c>
      <c r="H77" s="35"/>
      <c r="I77" s="35"/>
      <c r="J77" s="65"/>
      <c r="K77" s="228"/>
    </row>
    <row r="78" spans="2:12" x14ac:dyDescent="0.25">
      <c r="B78" s="93"/>
      <c r="C78" s="93" t="s">
        <v>651</v>
      </c>
      <c r="D78" s="95">
        <v>0</v>
      </c>
      <c r="E78" s="95">
        <f>+ED!H305</f>
        <v>0</v>
      </c>
      <c r="F78" s="95">
        <f>+ED!I304</f>
        <v>0</v>
      </c>
      <c r="G78" s="95">
        <f t="shared" si="11"/>
        <v>0</v>
      </c>
      <c r="H78" s="35"/>
      <c r="I78" s="35"/>
      <c r="J78" s="65"/>
      <c r="K78" s="228"/>
    </row>
    <row r="79" spans="2:12" x14ac:dyDescent="0.25">
      <c r="B79" s="93" t="s">
        <v>405</v>
      </c>
      <c r="C79" s="93" t="s">
        <v>235</v>
      </c>
      <c r="D79" s="95">
        <v>0</v>
      </c>
      <c r="E79" s="95">
        <f>+ED!H295</f>
        <v>425000</v>
      </c>
      <c r="F79" s="95">
        <f>+ED!I304</f>
        <v>0</v>
      </c>
      <c r="G79" s="95">
        <f t="shared" si="11"/>
        <v>425000</v>
      </c>
      <c r="K79" s="228"/>
    </row>
    <row r="80" spans="2:12" ht="18.75" customHeight="1" x14ac:dyDescent="0.25">
      <c r="B80" s="93" t="s">
        <v>406</v>
      </c>
      <c r="C80" s="93" t="s">
        <v>288</v>
      </c>
      <c r="D80" s="95">
        <v>0</v>
      </c>
      <c r="E80" s="813">
        <v>0</v>
      </c>
      <c r="F80" s="95">
        <f>+ED!I305</f>
        <v>0</v>
      </c>
      <c r="G80" s="95">
        <f t="shared" si="11"/>
        <v>0</v>
      </c>
      <c r="K80" s="228"/>
    </row>
    <row r="81" spans="2:14" ht="18.75" customHeight="1" x14ac:dyDescent="0.25">
      <c r="B81" s="93"/>
      <c r="C81" s="93" t="s">
        <v>300</v>
      </c>
      <c r="D81" s="95">
        <v>0</v>
      </c>
      <c r="E81" s="95">
        <f>+ED!H306</f>
        <v>0</v>
      </c>
      <c r="F81" s="95">
        <f>+ED!I306</f>
        <v>0</v>
      </c>
      <c r="G81" s="95">
        <f t="shared" si="11"/>
        <v>0</v>
      </c>
      <c r="K81" s="228"/>
    </row>
    <row r="82" spans="2:14" ht="18.75" customHeight="1" x14ac:dyDescent="0.25">
      <c r="B82" s="93" t="s">
        <v>410</v>
      </c>
      <c r="C82" s="93" t="s">
        <v>136</v>
      </c>
      <c r="D82" s="95">
        <v>105702.68</v>
      </c>
      <c r="E82" s="95">
        <f>+ED!H293</f>
        <v>35159.22</v>
      </c>
      <c r="F82" s="95">
        <f>+ED!I307</f>
        <v>0</v>
      </c>
      <c r="G82" s="95">
        <f t="shared" si="11"/>
        <v>140861.9</v>
      </c>
      <c r="H82" s="35"/>
      <c r="I82" s="35"/>
      <c r="J82" s="65"/>
      <c r="K82" s="228"/>
    </row>
    <row r="83" spans="2:14" ht="18.75" customHeight="1" x14ac:dyDescent="0.25">
      <c r="B83" s="93" t="s">
        <v>407</v>
      </c>
      <c r="C83" s="93" t="s">
        <v>138</v>
      </c>
      <c r="D83" s="95">
        <v>1000430.06</v>
      </c>
      <c r="E83" s="95">
        <f>+ED!H308</f>
        <v>248201.76</v>
      </c>
      <c r="F83" s="95">
        <f>+ED!I308</f>
        <v>0</v>
      </c>
      <c r="G83" s="95">
        <f t="shared" si="11"/>
        <v>1248631.82</v>
      </c>
      <c r="H83" s="35"/>
      <c r="I83" s="35"/>
      <c r="J83" s="65"/>
      <c r="K83" s="228"/>
    </row>
    <row r="84" spans="2:14" ht="18.75" customHeight="1" x14ac:dyDescent="0.25">
      <c r="B84" s="93" t="s">
        <v>408</v>
      </c>
      <c r="C84" s="93" t="s">
        <v>139</v>
      </c>
      <c r="D84" s="95">
        <v>1006567</v>
      </c>
      <c r="E84" s="95">
        <f>+ED!H309</f>
        <v>249458.5</v>
      </c>
      <c r="F84" s="95">
        <f>+ED!I309</f>
        <v>0</v>
      </c>
      <c r="G84" s="95">
        <f t="shared" si="11"/>
        <v>1256025.5</v>
      </c>
      <c r="K84" s="228"/>
    </row>
    <row r="85" spans="2:14" ht="18.75" customHeight="1" x14ac:dyDescent="0.25">
      <c r="B85" s="93" t="s">
        <v>409</v>
      </c>
      <c r="C85" s="93" t="s">
        <v>140</v>
      </c>
      <c r="D85" s="95">
        <v>138839.35999999999</v>
      </c>
      <c r="E85" s="95">
        <f>+ED!H310</f>
        <v>34754.789999999994</v>
      </c>
      <c r="F85" s="95">
        <f>+ED!I310</f>
        <v>0</v>
      </c>
      <c r="G85" s="95">
        <f t="shared" si="11"/>
        <v>173594.14999999997</v>
      </c>
      <c r="H85" s="35"/>
      <c r="I85" s="35"/>
      <c r="J85" s="65"/>
      <c r="K85" s="228"/>
    </row>
    <row r="86" spans="2:14" ht="19.5" customHeight="1" x14ac:dyDescent="0.25">
      <c r="B86" s="101"/>
      <c r="C86" s="102" t="s">
        <v>31</v>
      </c>
      <c r="D86" s="99">
        <f>SUM(D87:D126)</f>
        <v>9711793.5599999987</v>
      </c>
      <c r="E86" s="99">
        <f>SUM(E87:E126)</f>
        <v>2787383.9275000002</v>
      </c>
      <c r="F86" s="99">
        <f>SUM(F87:F125)</f>
        <v>114.84</v>
      </c>
      <c r="G86" s="99">
        <f>SUM(G87:G126)</f>
        <v>12499062.647499997</v>
      </c>
      <c r="H86" s="35"/>
      <c r="I86" s="35"/>
      <c r="J86" s="65"/>
      <c r="K86" s="228"/>
      <c r="L86" s="65"/>
      <c r="M86" s="5"/>
    </row>
    <row r="87" spans="2:14" x14ac:dyDescent="0.25">
      <c r="B87" s="93" t="s">
        <v>411</v>
      </c>
      <c r="C87" s="93" t="s">
        <v>141</v>
      </c>
      <c r="D87" s="95">
        <v>647432.47</v>
      </c>
      <c r="E87" s="95">
        <f>+ED!H319</f>
        <v>136824.57</v>
      </c>
      <c r="F87" s="95">
        <f>+ED!I312</f>
        <v>0</v>
      </c>
      <c r="G87" s="103">
        <f>D87+E87-F87</f>
        <v>784257.04</v>
      </c>
      <c r="H87" s="233"/>
      <c r="I87" s="233"/>
      <c r="J87" s="154"/>
      <c r="K87" s="228"/>
      <c r="L87" s="154"/>
      <c r="M87" s="5"/>
    </row>
    <row r="88" spans="2:14" x14ac:dyDescent="0.25">
      <c r="B88" s="93" t="s">
        <v>412</v>
      </c>
      <c r="C88" s="93" t="s">
        <v>142</v>
      </c>
      <c r="D88" s="95">
        <v>130769.12</v>
      </c>
      <c r="E88" s="95">
        <f>+ED!H320</f>
        <v>32698.65</v>
      </c>
      <c r="F88" s="95">
        <f>+ED!I313</f>
        <v>0</v>
      </c>
      <c r="G88" s="103">
        <f t="shared" ref="G88:G124" si="12">D88+E88-F88</f>
        <v>163467.76999999999</v>
      </c>
      <c r="H88" s="233"/>
      <c r="I88" s="233"/>
      <c r="J88" s="154"/>
      <c r="K88" s="228"/>
      <c r="L88" s="154"/>
      <c r="M88" s="254"/>
    </row>
    <row r="89" spans="2:14" x14ac:dyDescent="0.25">
      <c r="B89" s="93" t="s">
        <v>413</v>
      </c>
      <c r="C89" s="93" t="s">
        <v>137</v>
      </c>
      <c r="D89" s="95">
        <v>355230.74</v>
      </c>
      <c r="E89" s="95">
        <f>+ED!H322</f>
        <v>91570.06</v>
      </c>
      <c r="F89" s="95">
        <f>+ED!I314</f>
        <v>0</v>
      </c>
      <c r="G89" s="103">
        <f t="shared" si="12"/>
        <v>446800.8</v>
      </c>
      <c r="H89" s="233"/>
      <c r="I89" s="233"/>
      <c r="J89" s="154"/>
      <c r="K89" s="228"/>
      <c r="L89" s="65"/>
      <c r="M89" s="254"/>
    </row>
    <row r="90" spans="2:14" x14ac:dyDescent="0.25">
      <c r="B90" s="93" t="s">
        <v>414</v>
      </c>
      <c r="C90" s="93" t="s">
        <v>189</v>
      </c>
      <c r="D90" s="95">
        <v>5000</v>
      </c>
      <c r="E90" s="95">
        <f>+ED!H324</f>
        <v>0</v>
      </c>
      <c r="F90" s="95">
        <f>+ED!I315</f>
        <v>0</v>
      </c>
      <c r="G90" s="103">
        <f t="shared" si="12"/>
        <v>5000</v>
      </c>
      <c r="H90" s="233"/>
      <c r="I90" s="233"/>
      <c r="J90" s="154"/>
      <c r="K90" s="228"/>
      <c r="L90" s="157"/>
      <c r="M90" s="254"/>
    </row>
    <row r="91" spans="2:14" x14ac:dyDescent="0.25">
      <c r="B91" s="93" t="s">
        <v>415</v>
      </c>
      <c r="C91" s="93" t="s">
        <v>595</v>
      </c>
      <c r="D91" s="95">
        <v>1398.03</v>
      </c>
      <c r="E91" s="95">
        <f>ED!H126+ED!H326+ED!H127</f>
        <v>0</v>
      </c>
      <c r="F91" s="95">
        <f>+ED!I316</f>
        <v>0</v>
      </c>
      <c r="G91" s="103">
        <f t="shared" si="12"/>
        <v>1398.03</v>
      </c>
      <c r="H91" s="233"/>
      <c r="I91" s="233"/>
      <c r="J91" s="154"/>
      <c r="K91" s="228"/>
      <c r="M91" s="254"/>
    </row>
    <row r="92" spans="2:14" x14ac:dyDescent="0.25">
      <c r="B92" s="93" t="s">
        <v>416</v>
      </c>
      <c r="C92" s="93" t="s">
        <v>143</v>
      </c>
      <c r="D92" s="95">
        <v>85758.760000000009</v>
      </c>
      <c r="E92" s="95">
        <f>ED!H128+ED!H328</f>
        <v>58860.02</v>
      </c>
      <c r="F92" s="95">
        <f>+ED!I317</f>
        <v>0</v>
      </c>
      <c r="G92" s="103">
        <f t="shared" si="12"/>
        <v>144618.78</v>
      </c>
      <c r="H92" s="233"/>
      <c r="I92" s="233"/>
      <c r="J92" s="154"/>
      <c r="K92" s="228"/>
      <c r="M92" s="5"/>
    </row>
    <row r="93" spans="2:14" x14ac:dyDescent="0.25">
      <c r="B93" s="93" t="s">
        <v>417</v>
      </c>
      <c r="C93" s="93" t="s">
        <v>397</v>
      </c>
      <c r="D93" s="95">
        <v>446077.44</v>
      </c>
      <c r="E93" s="95">
        <f>+ED!H329</f>
        <v>0</v>
      </c>
      <c r="F93" s="95">
        <v>0</v>
      </c>
      <c r="G93" s="103">
        <f t="shared" si="12"/>
        <v>446077.44</v>
      </c>
      <c r="H93" s="233"/>
      <c r="I93" s="233"/>
      <c r="J93" s="154"/>
      <c r="K93" s="228"/>
      <c r="L93" s="65"/>
      <c r="M93" s="5"/>
      <c r="N93" s="3"/>
    </row>
    <row r="94" spans="2:14" x14ac:dyDescent="0.25">
      <c r="B94" s="93" t="s">
        <v>418</v>
      </c>
      <c r="C94" s="93" t="s">
        <v>145</v>
      </c>
      <c r="D94" s="95">
        <v>3329.41</v>
      </c>
      <c r="E94" s="95">
        <f>ED!H129+ED!H331</f>
        <v>144490.12</v>
      </c>
      <c r="F94" s="95">
        <v>0</v>
      </c>
      <c r="G94" s="103">
        <f t="shared" si="12"/>
        <v>147819.53</v>
      </c>
      <c r="H94" s="233"/>
      <c r="I94" s="233"/>
      <c r="J94" s="154"/>
      <c r="K94" s="228"/>
    </row>
    <row r="95" spans="2:14" x14ac:dyDescent="0.25">
      <c r="B95" s="93" t="s">
        <v>419</v>
      </c>
      <c r="C95" s="93" t="s">
        <v>144</v>
      </c>
      <c r="D95" s="95">
        <v>50000</v>
      </c>
      <c r="E95" s="95">
        <f>ED!H130+ED!H332</f>
        <v>0</v>
      </c>
      <c r="F95" s="95">
        <v>0</v>
      </c>
      <c r="G95" s="103">
        <f t="shared" si="12"/>
        <v>50000</v>
      </c>
      <c r="H95" s="233"/>
      <c r="I95" s="233"/>
      <c r="J95" s="154"/>
      <c r="K95" s="228"/>
    </row>
    <row r="96" spans="2:14" x14ac:dyDescent="0.25">
      <c r="B96" s="93" t="s">
        <v>420</v>
      </c>
      <c r="C96" s="93" t="s">
        <v>146</v>
      </c>
      <c r="D96" s="95">
        <v>4114748.4399999995</v>
      </c>
      <c r="E96" s="96">
        <f>ED!H263+ED!H335</f>
        <v>994851.27</v>
      </c>
      <c r="F96" s="95">
        <v>0</v>
      </c>
      <c r="G96" s="103">
        <f t="shared" si="12"/>
        <v>5109599.709999999</v>
      </c>
      <c r="H96" s="233"/>
      <c r="I96" s="233"/>
      <c r="J96" s="154"/>
      <c r="K96" s="228"/>
    </row>
    <row r="97" spans="2:11" x14ac:dyDescent="0.25">
      <c r="B97" s="93" t="s">
        <v>421</v>
      </c>
      <c r="C97" s="93" t="s">
        <v>148</v>
      </c>
      <c r="D97" s="95">
        <v>0</v>
      </c>
      <c r="E97" s="95">
        <v>0</v>
      </c>
      <c r="F97" s="95">
        <f>+ED!I322</f>
        <v>0</v>
      </c>
      <c r="G97" s="103">
        <f t="shared" si="12"/>
        <v>0</v>
      </c>
      <c r="H97" s="233"/>
      <c r="I97" s="233"/>
      <c r="J97" s="154"/>
      <c r="K97" s="228"/>
    </row>
    <row r="98" spans="2:11" x14ac:dyDescent="0.25">
      <c r="B98" s="93"/>
      <c r="C98" s="93" t="s">
        <v>618</v>
      </c>
      <c r="D98" s="95">
        <v>88736</v>
      </c>
      <c r="E98" s="196">
        <f>+ED!H337</f>
        <v>22184</v>
      </c>
      <c r="F98" s="196">
        <f>+ED!I323</f>
        <v>0</v>
      </c>
      <c r="G98" s="103">
        <f t="shared" si="12"/>
        <v>110920</v>
      </c>
      <c r="H98" s="233"/>
      <c r="I98" s="233"/>
      <c r="J98" s="154"/>
      <c r="K98" s="228"/>
    </row>
    <row r="99" spans="2:11" x14ac:dyDescent="0.25">
      <c r="B99" s="93" t="s">
        <v>422</v>
      </c>
      <c r="C99" s="93" t="s">
        <v>147</v>
      </c>
      <c r="D99" s="95">
        <v>0</v>
      </c>
      <c r="E99" s="95">
        <f>+ED!H338</f>
        <v>0</v>
      </c>
      <c r="F99" s="95">
        <v>0</v>
      </c>
      <c r="G99" s="103">
        <f t="shared" si="12"/>
        <v>0</v>
      </c>
      <c r="H99" s="233"/>
      <c r="I99" s="233"/>
      <c r="J99" s="154"/>
      <c r="K99" s="228"/>
    </row>
    <row r="100" spans="2:11" x14ac:dyDescent="0.25">
      <c r="B100" s="93"/>
      <c r="C100" s="93" t="s">
        <v>585</v>
      </c>
      <c r="D100" s="95">
        <v>78731.66</v>
      </c>
      <c r="E100" s="95">
        <f>ED!H199+ED!H205</f>
        <v>19682.935000000001</v>
      </c>
      <c r="F100" s="95">
        <v>0</v>
      </c>
      <c r="G100" s="442">
        <f t="shared" si="12"/>
        <v>98414.595000000001</v>
      </c>
      <c r="H100" s="233"/>
      <c r="I100" s="233"/>
      <c r="J100" s="154"/>
      <c r="K100" s="228"/>
    </row>
    <row r="101" spans="2:11" x14ac:dyDescent="0.25">
      <c r="B101" s="93" t="s">
        <v>423</v>
      </c>
      <c r="C101" s="93" t="s">
        <v>149</v>
      </c>
      <c r="D101" s="95">
        <v>130142.76666666666</v>
      </c>
      <c r="E101" s="96">
        <f>+ED!H211+ED!H131</f>
        <v>34333.691666666666</v>
      </c>
      <c r="F101" s="95">
        <v>0</v>
      </c>
      <c r="G101" s="442">
        <f t="shared" si="12"/>
        <v>164476.45833333331</v>
      </c>
      <c r="H101" s="233"/>
      <c r="I101" s="233"/>
      <c r="J101" s="154"/>
      <c r="K101" s="228"/>
    </row>
    <row r="102" spans="2:11" x14ac:dyDescent="0.25">
      <c r="B102" s="93" t="s">
        <v>424</v>
      </c>
      <c r="C102" s="93" t="s">
        <v>65</v>
      </c>
      <c r="D102" s="95">
        <v>759607.96333333338</v>
      </c>
      <c r="E102" s="96">
        <f>ED!H343+ED!H212</f>
        <v>177140.56083333332</v>
      </c>
      <c r="F102" s="95">
        <f>+ED!J241</f>
        <v>114.84</v>
      </c>
      <c r="G102" s="103">
        <f t="shared" si="12"/>
        <v>936633.6841666667</v>
      </c>
      <c r="H102" s="233"/>
      <c r="I102" s="233"/>
      <c r="J102" s="154"/>
      <c r="K102" s="228"/>
    </row>
    <row r="103" spans="2:11" x14ac:dyDescent="0.25">
      <c r="B103" s="93" t="s">
        <v>425</v>
      </c>
      <c r="C103" s="93" t="s">
        <v>99</v>
      </c>
      <c r="D103" s="95">
        <v>0</v>
      </c>
      <c r="E103" s="95">
        <f>+ED!H344</f>
        <v>0</v>
      </c>
      <c r="F103" s="95">
        <f>+ED!I327</f>
        <v>0</v>
      </c>
      <c r="G103" s="103">
        <f t="shared" si="12"/>
        <v>0</v>
      </c>
      <c r="H103" s="233"/>
      <c r="I103" s="233"/>
      <c r="J103" s="154"/>
      <c r="K103" s="228"/>
    </row>
    <row r="104" spans="2:11" x14ac:dyDescent="0.25">
      <c r="B104" s="93"/>
      <c r="C104" s="93" t="s">
        <v>226</v>
      </c>
      <c r="D104" s="95">
        <v>0</v>
      </c>
      <c r="E104" s="95">
        <v>0</v>
      </c>
      <c r="F104" s="95">
        <f>+ED!I328</f>
        <v>0</v>
      </c>
      <c r="G104" s="103">
        <f t="shared" si="12"/>
        <v>0</v>
      </c>
      <c r="H104" s="233"/>
      <c r="I104" s="233"/>
      <c r="J104" s="154"/>
      <c r="K104" s="228"/>
    </row>
    <row r="105" spans="2:11" x14ac:dyDescent="0.25">
      <c r="B105" s="93"/>
      <c r="C105" s="109" t="s">
        <v>331</v>
      </c>
      <c r="D105" s="95">
        <v>0</v>
      </c>
      <c r="E105" s="95">
        <v>0</v>
      </c>
      <c r="F105" s="95">
        <f>+ED!I329</f>
        <v>0</v>
      </c>
      <c r="G105" s="103">
        <f t="shared" si="12"/>
        <v>0</v>
      </c>
      <c r="H105" s="233"/>
      <c r="I105" s="233"/>
      <c r="J105" s="154"/>
      <c r="K105" s="228"/>
    </row>
    <row r="106" spans="2:11" x14ac:dyDescent="0.25">
      <c r="B106" s="93"/>
      <c r="C106" s="20" t="s">
        <v>650</v>
      </c>
      <c r="D106" s="95">
        <v>0</v>
      </c>
      <c r="E106" s="95">
        <f>+ED!H133</f>
        <v>0</v>
      </c>
      <c r="F106" s="95">
        <v>0</v>
      </c>
      <c r="G106" s="103">
        <f>D106+E106-F106</f>
        <v>0</v>
      </c>
      <c r="H106" s="233"/>
      <c r="I106" s="233"/>
      <c r="J106" s="154"/>
      <c r="K106" s="228"/>
    </row>
    <row r="107" spans="2:11" x14ac:dyDescent="0.25">
      <c r="B107" s="93" t="s">
        <v>426</v>
      </c>
      <c r="C107" s="93" t="s">
        <v>243</v>
      </c>
      <c r="D107" s="95">
        <v>0</v>
      </c>
      <c r="E107" s="95">
        <v>0</v>
      </c>
      <c r="F107" s="95">
        <f>+ED!I330</f>
        <v>0</v>
      </c>
      <c r="G107" s="103">
        <f t="shared" si="12"/>
        <v>0</v>
      </c>
      <c r="H107" s="233"/>
      <c r="I107" s="233"/>
      <c r="J107" s="154"/>
      <c r="K107" s="228"/>
    </row>
    <row r="108" spans="2:11" x14ac:dyDescent="0.25">
      <c r="B108" s="93" t="s">
        <v>427</v>
      </c>
      <c r="C108" s="105" t="s">
        <v>150</v>
      </c>
      <c r="D108" s="95">
        <v>54013.599999999999</v>
      </c>
      <c r="E108" s="95">
        <f>+ED!H349+ED!H135</f>
        <v>64347.38</v>
      </c>
      <c r="F108" s="104">
        <v>0</v>
      </c>
      <c r="G108" s="103">
        <f t="shared" si="12"/>
        <v>118360.98</v>
      </c>
      <c r="H108" s="233"/>
      <c r="I108" s="233"/>
      <c r="J108" s="154"/>
      <c r="K108" s="228"/>
    </row>
    <row r="109" spans="2:11" x14ac:dyDescent="0.25">
      <c r="B109" s="93"/>
      <c r="C109" s="109" t="s">
        <v>623</v>
      </c>
      <c r="D109" s="95">
        <v>0</v>
      </c>
      <c r="E109" s="95">
        <f>+ED!H350</f>
        <v>0</v>
      </c>
      <c r="F109" s="104">
        <v>0</v>
      </c>
      <c r="G109" s="103">
        <f t="shared" si="12"/>
        <v>0</v>
      </c>
      <c r="H109" s="233"/>
      <c r="I109" s="233"/>
      <c r="J109" s="154"/>
      <c r="K109" s="228"/>
    </row>
    <row r="110" spans="2:11" ht="13.5" customHeight="1" x14ac:dyDescent="0.25">
      <c r="B110" s="93" t="s">
        <v>428</v>
      </c>
      <c r="C110" s="105" t="s">
        <v>165</v>
      </c>
      <c r="D110" s="95">
        <v>140066</v>
      </c>
      <c r="E110" s="95">
        <f>ED!H136+ED!H351</f>
        <v>4259.8</v>
      </c>
      <c r="F110" s="95">
        <f>+ED!I332</f>
        <v>0</v>
      </c>
      <c r="G110" s="103">
        <f t="shared" si="12"/>
        <v>144325.79999999999</v>
      </c>
      <c r="H110" s="233"/>
      <c r="I110" s="233"/>
      <c r="J110" s="154"/>
      <c r="K110" s="228"/>
    </row>
    <row r="111" spans="2:11" x14ac:dyDescent="0.25">
      <c r="B111" s="93" t="s">
        <v>429</v>
      </c>
      <c r="C111" s="93" t="s">
        <v>151</v>
      </c>
      <c r="D111" s="95">
        <v>764.20999999999992</v>
      </c>
      <c r="E111" s="95">
        <f>+ED!H137</f>
        <v>207.73</v>
      </c>
      <c r="F111" s="95">
        <f>+ED!I334</f>
        <v>0</v>
      </c>
      <c r="G111" s="103">
        <f t="shared" si="12"/>
        <v>971.93999999999994</v>
      </c>
      <c r="H111" s="233"/>
      <c r="I111" s="233"/>
      <c r="J111" s="154"/>
      <c r="K111" s="228"/>
    </row>
    <row r="112" spans="2:11" x14ac:dyDescent="0.25">
      <c r="B112" s="93"/>
      <c r="C112" s="443" t="s">
        <v>529</v>
      </c>
      <c r="D112" s="95">
        <v>8168</v>
      </c>
      <c r="E112" s="444">
        <v>0</v>
      </c>
      <c r="F112" s="444">
        <v>0</v>
      </c>
      <c r="G112" s="445">
        <f t="shared" si="12"/>
        <v>8168</v>
      </c>
      <c r="H112" s="233"/>
      <c r="I112" s="233"/>
      <c r="J112" s="154"/>
      <c r="K112" s="228"/>
    </row>
    <row r="113" spans="2:12" x14ac:dyDescent="0.25">
      <c r="B113" s="93" t="s">
        <v>432</v>
      </c>
      <c r="C113" s="93" t="s">
        <v>197</v>
      </c>
      <c r="D113" s="95">
        <v>0</v>
      </c>
      <c r="E113" s="95">
        <v>0</v>
      </c>
      <c r="F113" s="95">
        <f>+ED!I336</f>
        <v>0</v>
      </c>
      <c r="G113" s="103">
        <f t="shared" si="12"/>
        <v>0</v>
      </c>
      <c r="H113" s="233"/>
      <c r="I113" s="233"/>
      <c r="J113" s="154"/>
      <c r="K113" s="228"/>
    </row>
    <row r="114" spans="2:12" x14ac:dyDescent="0.25">
      <c r="B114" s="93" t="s">
        <v>430</v>
      </c>
      <c r="C114" s="93" t="s">
        <v>116</v>
      </c>
      <c r="D114" s="95">
        <v>0</v>
      </c>
      <c r="E114" s="95">
        <f>+ED!H354</f>
        <v>0</v>
      </c>
      <c r="F114" s="95">
        <f>+ED!I338</f>
        <v>0</v>
      </c>
      <c r="G114" s="103">
        <f t="shared" si="12"/>
        <v>0</v>
      </c>
      <c r="H114" s="233"/>
      <c r="I114" s="233"/>
      <c r="J114" s="154"/>
      <c r="K114" s="228"/>
    </row>
    <row r="115" spans="2:12" ht="14.25" customHeight="1" x14ac:dyDescent="0.25">
      <c r="B115" s="93" t="s">
        <v>431</v>
      </c>
      <c r="C115" s="93" t="s">
        <v>120</v>
      </c>
      <c r="D115" s="95">
        <v>2325.08</v>
      </c>
      <c r="E115" s="95">
        <f>+ED!H138</f>
        <v>7399.78</v>
      </c>
      <c r="F115" s="95">
        <f>+ED!I341</f>
        <v>0</v>
      </c>
      <c r="G115" s="103">
        <f t="shared" si="12"/>
        <v>9724.86</v>
      </c>
      <c r="H115" s="233"/>
      <c r="I115" s="233"/>
      <c r="J115" s="154"/>
      <c r="K115" s="228"/>
    </row>
    <row r="116" spans="2:12" ht="14.25" customHeight="1" x14ac:dyDescent="0.25">
      <c r="B116" s="93"/>
      <c r="C116" s="109" t="s">
        <v>643</v>
      </c>
      <c r="D116" s="95">
        <v>0</v>
      </c>
      <c r="E116" s="96">
        <f>+ED!H355</f>
        <v>0</v>
      </c>
      <c r="F116" s="95">
        <v>0</v>
      </c>
      <c r="G116" s="103">
        <f t="shared" si="12"/>
        <v>0</v>
      </c>
      <c r="H116" s="233"/>
      <c r="I116" s="233"/>
      <c r="J116" s="154"/>
      <c r="K116" s="228"/>
    </row>
    <row r="117" spans="2:12" x14ac:dyDescent="0.25">
      <c r="B117" s="93" t="s">
        <v>433</v>
      </c>
      <c r="C117" s="93" t="s">
        <v>299</v>
      </c>
      <c r="D117" s="95">
        <v>0</v>
      </c>
      <c r="E117" s="95">
        <f>+ED!H356</f>
        <v>0</v>
      </c>
      <c r="F117" s="95">
        <f>+ED!I342</f>
        <v>0</v>
      </c>
      <c r="G117" s="103">
        <f t="shared" si="12"/>
        <v>0</v>
      </c>
      <c r="H117" s="233"/>
      <c r="I117" s="233"/>
      <c r="J117" s="154"/>
      <c r="K117" s="228"/>
    </row>
    <row r="118" spans="2:12" x14ac:dyDescent="0.25">
      <c r="B118" s="93" t="s">
        <v>546</v>
      </c>
      <c r="C118" s="93" t="s">
        <v>549</v>
      </c>
      <c r="D118" s="95">
        <v>0</v>
      </c>
      <c r="E118" s="95">
        <f>+ED!H357</f>
        <v>12744</v>
      </c>
      <c r="F118" s="95">
        <f>+ED!I343</f>
        <v>0</v>
      </c>
      <c r="G118" s="103">
        <f t="shared" si="12"/>
        <v>12744</v>
      </c>
      <c r="H118" s="233"/>
      <c r="I118" s="233"/>
      <c r="J118" s="154"/>
      <c r="K118" s="228"/>
    </row>
    <row r="119" spans="2:12" x14ac:dyDescent="0.25">
      <c r="B119" s="93"/>
      <c r="C119" s="93" t="s">
        <v>188</v>
      </c>
      <c r="D119" s="95">
        <v>100000</v>
      </c>
      <c r="E119" s="95">
        <f>+ED!H358+ED!H141</f>
        <v>100000</v>
      </c>
      <c r="F119" s="95">
        <f>+ED!I344</f>
        <v>0</v>
      </c>
      <c r="G119" s="103">
        <f t="shared" si="12"/>
        <v>200000</v>
      </c>
      <c r="H119" s="233"/>
      <c r="I119" s="233"/>
      <c r="J119" s="154"/>
      <c r="K119" s="228"/>
    </row>
    <row r="120" spans="2:12" x14ac:dyDescent="0.25">
      <c r="B120" s="93"/>
      <c r="C120" s="93" t="s">
        <v>233</v>
      </c>
      <c r="D120" s="95">
        <v>0</v>
      </c>
      <c r="E120" s="95">
        <f>+ED!H359</f>
        <v>0</v>
      </c>
      <c r="F120" s="95">
        <f>+ED!I345</f>
        <v>0</v>
      </c>
      <c r="G120" s="103">
        <f t="shared" si="12"/>
        <v>0</v>
      </c>
      <c r="H120" s="233"/>
      <c r="I120" s="233"/>
      <c r="J120" s="154"/>
      <c r="K120" s="228"/>
    </row>
    <row r="121" spans="2:12" x14ac:dyDescent="0.25">
      <c r="B121" s="93" t="s">
        <v>619</v>
      </c>
      <c r="C121" s="93" t="s">
        <v>519</v>
      </c>
      <c r="D121" s="95">
        <v>279125</v>
      </c>
      <c r="E121" s="95">
        <f>+ED!H360</f>
        <v>279125</v>
      </c>
      <c r="F121" s="95">
        <f>+ED!I346</f>
        <v>0</v>
      </c>
      <c r="G121" s="103">
        <f t="shared" si="12"/>
        <v>558250</v>
      </c>
      <c r="H121" s="233"/>
      <c r="I121" s="233"/>
      <c r="J121" s="154"/>
      <c r="K121" s="228"/>
    </row>
    <row r="122" spans="2:12" x14ac:dyDescent="0.25">
      <c r="B122" s="93" t="s">
        <v>434</v>
      </c>
      <c r="C122" s="93" t="s">
        <v>107</v>
      </c>
      <c r="D122" s="95">
        <v>1320207.77</v>
      </c>
      <c r="E122" s="96">
        <f>ED!H140+ED!H361</f>
        <v>312039.59999999998</v>
      </c>
      <c r="F122" s="95">
        <f>+ED!I347</f>
        <v>0</v>
      </c>
      <c r="G122" s="103">
        <f t="shared" si="12"/>
        <v>1632247.37</v>
      </c>
      <c r="H122" s="233"/>
      <c r="I122" s="233"/>
      <c r="J122" s="154"/>
      <c r="K122" s="228"/>
    </row>
    <row r="123" spans="2:12" x14ac:dyDescent="0.25">
      <c r="B123" s="93" t="s">
        <v>435</v>
      </c>
      <c r="C123" s="394" t="s">
        <v>663</v>
      </c>
      <c r="D123" s="95">
        <v>3000</v>
      </c>
      <c r="E123" s="95">
        <f>+ED!H142</f>
        <v>0</v>
      </c>
      <c r="F123" s="95">
        <v>0</v>
      </c>
      <c r="G123" s="103">
        <f t="shared" si="12"/>
        <v>3000</v>
      </c>
      <c r="H123" s="233"/>
      <c r="I123" s="233"/>
      <c r="J123" s="154"/>
      <c r="K123" s="228"/>
    </row>
    <row r="124" spans="2:12" x14ac:dyDescent="0.25">
      <c r="B124" s="93"/>
      <c r="C124" s="109" t="s">
        <v>234</v>
      </c>
      <c r="D124" s="95">
        <v>309311.03999999998</v>
      </c>
      <c r="E124" s="95">
        <f>+ED!H364</f>
        <v>0</v>
      </c>
      <c r="F124" s="95">
        <f>+ED!I349</f>
        <v>0</v>
      </c>
      <c r="G124" s="103">
        <f t="shared" si="12"/>
        <v>309311.03999999998</v>
      </c>
      <c r="H124" s="233"/>
      <c r="I124" s="233"/>
      <c r="J124" s="154"/>
      <c r="K124" s="228"/>
    </row>
    <row r="125" spans="2:12" x14ac:dyDescent="0.25">
      <c r="B125" s="93" t="s">
        <v>436</v>
      </c>
      <c r="C125" s="93" t="s">
        <v>152</v>
      </c>
      <c r="D125" s="95">
        <v>547434.56000000006</v>
      </c>
      <c r="E125" s="95">
        <f>ED!H143+ED!H365</f>
        <v>294624.76</v>
      </c>
      <c r="F125" s="96">
        <v>0</v>
      </c>
      <c r="G125" s="103">
        <f>D125+E125-F125</f>
        <v>842059.32000000007</v>
      </c>
      <c r="H125" s="233"/>
      <c r="I125" s="233"/>
      <c r="J125" s="154"/>
      <c r="K125" s="228"/>
    </row>
    <row r="126" spans="2:12" x14ac:dyDescent="0.25">
      <c r="B126" s="93"/>
      <c r="C126" s="93"/>
      <c r="D126" s="95">
        <v>50415.5</v>
      </c>
      <c r="E126" s="95">
        <f>+ED!H367</f>
        <v>0</v>
      </c>
      <c r="F126" s="96">
        <v>0</v>
      </c>
      <c r="G126" s="103">
        <f>D126+E126-F126</f>
        <v>50415.5</v>
      </c>
      <c r="H126" s="233"/>
      <c r="I126" s="233"/>
      <c r="J126" s="154"/>
      <c r="K126" s="228"/>
    </row>
    <row r="127" spans="2:12" x14ac:dyDescent="0.25">
      <c r="B127" s="101"/>
      <c r="C127" s="102" t="s">
        <v>30</v>
      </c>
      <c r="D127" s="99">
        <f>SUM(D128:D149)</f>
        <v>2517156.2400000002</v>
      </c>
      <c r="E127" s="99">
        <f>SUM(E128:E149)</f>
        <v>77925.930000000008</v>
      </c>
      <c r="F127" s="99">
        <f>SUM(F128:F149)</f>
        <v>0.01</v>
      </c>
      <c r="G127" s="99">
        <f>SUM(G128:G149)</f>
        <v>2595082.16</v>
      </c>
      <c r="H127" s="147"/>
      <c r="I127" s="147"/>
      <c r="J127" s="157"/>
      <c r="K127" s="228"/>
      <c r="L127" s="154"/>
    </row>
    <row r="128" spans="2:12" x14ac:dyDescent="0.25">
      <c r="B128" s="93" t="s">
        <v>437</v>
      </c>
      <c r="C128" s="93" t="s">
        <v>25</v>
      </c>
      <c r="D128" s="95">
        <v>26499.839999999997</v>
      </c>
      <c r="E128" s="96">
        <f>ED!H145+ED!H376</f>
        <v>8264.77</v>
      </c>
      <c r="F128" s="95">
        <v>0</v>
      </c>
      <c r="G128" s="95">
        <f>D128+E128-F128</f>
        <v>34764.61</v>
      </c>
      <c r="H128" s="240"/>
      <c r="I128" s="240"/>
      <c r="J128" s="133"/>
      <c r="K128" s="228"/>
    </row>
    <row r="129" spans="2:12" x14ac:dyDescent="0.25">
      <c r="B129" s="93"/>
      <c r="C129" s="257" t="s">
        <v>527</v>
      </c>
      <c r="D129" s="95">
        <v>65557.919999999998</v>
      </c>
      <c r="E129" s="96">
        <f>+ED!H379</f>
        <v>17582</v>
      </c>
      <c r="F129" s="95">
        <f>+ED!I353</f>
        <v>0</v>
      </c>
      <c r="G129" s="95">
        <f t="shared" ref="G129:G149" si="13">D129+E129-F129</f>
        <v>83139.92</v>
      </c>
      <c r="K129" s="228"/>
    </row>
    <row r="130" spans="2:12" x14ac:dyDescent="0.25">
      <c r="B130" s="93" t="s">
        <v>438</v>
      </c>
      <c r="C130" s="143" t="s">
        <v>528</v>
      </c>
      <c r="D130" s="95">
        <v>0</v>
      </c>
      <c r="E130" s="95">
        <v>0</v>
      </c>
      <c r="F130" s="95">
        <f>+ED!I354</f>
        <v>0</v>
      </c>
      <c r="G130" s="95">
        <f t="shared" si="13"/>
        <v>0</v>
      </c>
      <c r="H130" s="240"/>
      <c r="I130" s="240"/>
      <c r="J130" s="133"/>
      <c r="K130" s="228"/>
    </row>
    <row r="131" spans="2:12" x14ac:dyDescent="0.25">
      <c r="B131" s="93"/>
      <c r="C131" s="143" t="s">
        <v>240</v>
      </c>
      <c r="D131" s="95">
        <v>0</v>
      </c>
      <c r="E131" s="95">
        <f>+ED!H382</f>
        <v>0</v>
      </c>
      <c r="F131" s="95">
        <f>+ED!I356</f>
        <v>0</v>
      </c>
      <c r="G131" s="95">
        <f t="shared" si="13"/>
        <v>0</v>
      </c>
      <c r="H131" s="240"/>
      <c r="I131" s="240"/>
      <c r="J131" s="133"/>
      <c r="K131" s="228"/>
    </row>
    <row r="132" spans="2:12" x14ac:dyDescent="0.25">
      <c r="B132" s="93"/>
      <c r="C132" s="143" t="s">
        <v>591</v>
      </c>
      <c r="D132" s="95">
        <v>0</v>
      </c>
      <c r="E132" s="96">
        <f>+ED!H386</f>
        <v>0</v>
      </c>
      <c r="F132" s="95">
        <v>0</v>
      </c>
      <c r="G132" s="95">
        <f t="shared" si="13"/>
        <v>0</v>
      </c>
      <c r="H132" s="240"/>
      <c r="I132" s="240"/>
      <c r="J132" s="133"/>
      <c r="K132" s="228"/>
    </row>
    <row r="133" spans="2:12" x14ac:dyDescent="0.25">
      <c r="B133" s="93"/>
      <c r="C133" s="143" t="s">
        <v>543</v>
      </c>
      <c r="D133" s="95">
        <v>0</v>
      </c>
      <c r="E133" s="95">
        <f>+ED!H150</f>
        <v>0</v>
      </c>
      <c r="F133" s="95">
        <v>0</v>
      </c>
      <c r="G133" s="95">
        <f t="shared" si="13"/>
        <v>0</v>
      </c>
      <c r="H133" s="240"/>
      <c r="I133" s="240"/>
      <c r="J133" s="133"/>
      <c r="K133" s="228"/>
    </row>
    <row r="134" spans="2:12" x14ac:dyDescent="0.25">
      <c r="B134" s="93" t="s">
        <v>439</v>
      </c>
      <c r="C134" s="93" t="s">
        <v>159</v>
      </c>
      <c r="D134" s="95">
        <v>0</v>
      </c>
      <c r="E134" s="95">
        <f>+ED!H389</f>
        <v>0</v>
      </c>
      <c r="F134" s="95">
        <f>+ED!I358</f>
        <v>0</v>
      </c>
      <c r="G134" s="95">
        <f t="shared" si="13"/>
        <v>0</v>
      </c>
      <c r="K134" s="228"/>
    </row>
    <row r="135" spans="2:12" x14ac:dyDescent="0.25">
      <c r="B135" s="93" t="s">
        <v>441</v>
      </c>
      <c r="C135" s="93" t="s">
        <v>232</v>
      </c>
      <c r="D135" s="95">
        <v>0</v>
      </c>
      <c r="E135" s="95">
        <f>+ED!H391</f>
        <v>0</v>
      </c>
      <c r="F135" s="95">
        <f>+ED!I359</f>
        <v>0</v>
      </c>
      <c r="G135" s="95">
        <f t="shared" si="13"/>
        <v>0</v>
      </c>
      <c r="H135" s="240"/>
      <c r="I135" s="240"/>
      <c r="J135" s="133"/>
      <c r="K135" s="228"/>
    </row>
    <row r="136" spans="2:12" x14ac:dyDescent="0.25">
      <c r="B136" s="93" t="s">
        <v>440</v>
      </c>
      <c r="C136" s="93" t="s">
        <v>153</v>
      </c>
      <c r="D136" s="95">
        <v>2100000</v>
      </c>
      <c r="E136" s="95">
        <f>+ED!H394</f>
        <v>0</v>
      </c>
      <c r="F136" s="95">
        <f>+ED!I360</f>
        <v>0</v>
      </c>
      <c r="G136" s="95">
        <f t="shared" si="13"/>
        <v>2100000</v>
      </c>
      <c r="H136" s="240"/>
      <c r="I136" s="240"/>
      <c r="J136" s="133"/>
      <c r="K136" s="228"/>
      <c r="L136" s="154"/>
    </row>
    <row r="137" spans="2:12" x14ac:dyDescent="0.25">
      <c r="B137" s="93"/>
      <c r="C137" s="109" t="s">
        <v>669</v>
      </c>
      <c r="D137" s="95">
        <v>0</v>
      </c>
      <c r="E137" s="95">
        <f>+ED!H152</f>
        <v>0</v>
      </c>
      <c r="F137" s="95">
        <v>0</v>
      </c>
      <c r="G137" s="95">
        <f t="shared" si="13"/>
        <v>0</v>
      </c>
      <c r="H137" s="240"/>
      <c r="I137" s="240"/>
      <c r="J137" s="133"/>
      <c r="K137" s="228"/>
      <c r="L137" s="154"/>
    </row>
    <row r="138" spans="2:12" x14ac:dyDescent="0.25">
      <c r="B138" s="93" t="s">
        <v>447</v>
      </c>
      <c r="C138" s="93" t="s">
        <v>154</v>
      </c>
      <c r="D138" s="95">
        <v>269.95</v>
      </c>
      <c r="E138" s="96">
        <f>+ED!H153</f>
        <v>0</v>
      </c>
      <c r="F138" s="95">
        <v>0</v>
      </c>
      <c r="G138" s="95">
        <f t="shared" si="13"/>
        <v>269.95</v>
      </c>
      <c r="K138" s="228"/>
    </row>
    <row r="139" spans="2:12" x14ac:dyDescent="0.25">
      <c r="B139" s="93" t="s">
        <v>442</v>
      </c>
      <c r="C139" s="93" t="s">
        <v>155</v>
      </c>
      <c r="D139" s="95">
        <v>1416</v>
      </c>
      <c r="E139" s="96">
        <f>+ED!H154</f>
        <v>1770</v>
      </c>
      <c r="F139" s="95">
        <f>+ED!I363</f>
        <v>0</v>
      </c>
      <c r="G139" s="95">
        <f t="shared" si="13"/>
        <v>3186</v>
      </c>
      <c r="K139" s="228"/>
    </row>
    <row r="140" spans="2:12" x14ac:dyDescent="0.25">
      <c r="B140" s="93" t="s">
        <v>443</v>
      </c>
      <c r="C140" s="93" t="s">
        <v>393</v>
      </c>
      <c r="D140" s="95">
        <v>0</v>
      </c>
      <c r="E140" s="95">
        <v>0</v>
      </c>
      <c r="F140" s="95">
        <f>+ED!I364</f>
        <v>0</v>
      </c>
      <c r="G140" s="95">
        <f t="shared" si="13"/>
        <v>0</v>
      </c>
      <c r="K140" s="228"/>
    </row>
    <row r="141" spans="2:12" x14ac:dyDescent="0.25">
      <c r="B141" s="93"/>
      <c r="C141" s="93" t="s">
        <v>666</v>
      </c>
      <c r="D141" s="95">
        <v>0</v>
      </c>
      <c r="E141" s="95">
        <f>+ED!H402</f>
        <v>0</v>
      </c>
      <c r="F141" s="95">
        <v>0</v>
      </c>
      <c r="G141" s="95">
        <f t="shared" si="13"/>
        <v>0</v>
      </c>
      <c r="K141" s="228"/>
    </row>
    <row r="142" spans="2:12" x14ac:dyDescent="0.25">
      <c r="B142" s="93" t="s">
        <v>444</v>
      </c>
      <c r="C142" s="93" t="s">
        <v>156</v>
      </c>
      <c r="D142" s="95">
        <v>0</v>
      </c>
      <c r="E142" s="96">
        <f>+ED!H155</f>
        <v>0</v>
      </c>
      <c r="F142" s="95">
        <v>0</v>
      </c>
      <c r="G142" s="95">
        <f t="shared" si="13"/>
        <v>0</v>
      </c>
      <c r="K142" s="228"/>
    </row>
    <row r="143" spans="2:12" x14ac:dyDescent="0.25">
      <c r="B143" s="93" t="s">
        <v>445</v>
      </c>
      <c r="C143" s="93" t="s">
        <v>157</v>
      </c>
      <c r="D143" s="95">
        <v>3675.7799999999997</v>
      </c>
      <c r="E143" s="96">
        <f>ED!H156+ED!H407</f>
        <v>2183</v>
      </c>
      <c r="F143" s="95">
        <f>+ED!I367</f>
        <v>0</v>
      </c>
      <c r="G143" s="95">
        <f t="shared" si="13"/>
        <v>5858.78</v>
      </c>
      <c r="H143" s="240"/>
      <c r="I143" s="240"/>
      <c r="J143" s="133"/>
      <c r="K143" s="228"/>
    </row>
    <row r="144" spans="2:12" x14ac:dyDescent="0.25">
      <c r="B144" s="93" t="s">
        <v>448</v>
      </c>
      <c r="C144" s="93" t="s">
        <v>106</v>
      </c>
      <c r="D144" s="95">
        <v>0</v>
      </c>
      <c r="E144" s="96">
        <f>+ED!H155+ED!H404</f>
        <v>0</v>
      </c>
      <c r="F144" s="95">
        <f>+ED!I368</f>
        <v>0</v>
      </c>
      <c r="G144" s="95">
        <f t="shared" si="13"/>
        <v>0</v>
      </c>
      <c r="K144" s="228"/>
    </row>
    <row r="145" spans="2:13" x14ac:dyDescent="0.25">
      <c r="B145" s="93" t="s">
        <v>446</v>
      </c>
      <c r="C145" s="93" t="s">
        <v>158</v>
      </c>
      <c r="D145" s="95">
        <v>3410.2</v>
      </c>
      <c r="E145" s="96">
        <f>+ED!H158</f>
        <v>0</v>
      </c>
      <c r="F145" s="95">
        <f>+ED!I369</f>
        <v>0</v>
      </c>
      <c r="G145" s="95">
        <f t="shared" si="13"/>
        <v>3410.2</v>
      </c>
      <c r="K145" s="228"/>
    </row>
    <row r="146" spans="2:13" ht="17.25" customHeight="1" x14ac:dyDescent="0.25">
      <c r="B146" s="93"/>
      <c r="C146" s="93" t="s">
        <v>622</v>
      </c>
      <c r="D146" s="95">
        <v>0</v>
      </c>
      <c r="E146" s="96">
        <f>+ED!H410</f>
        <v>0</v>
      </c>
      <c r="F146" s="95">
        <v>0</v>
      </c>
      <c r="G146" s="95">
        <f t="shared" si="13"/>
        <v>0</v>
      </c>
      <c r="K146" s="228"/>
    </row>
    <row r="147" spans="2:13" x14ac:dyDescent="0.25">
      <c r="B147" s="93"/>
      <c r="C147" s="93" t="s">
        <v>337</v>
      </c>
      <c r="D147" s="95">
        <v>0</v>
      </c>
      <c r="E147" s="95">
        <v>0</v>
      </c>
      <c r="F147" s="95">
        <f>+ED!I370</f>
        <v>0</v>
      </c>
      <c r="G147" s="95">
        <f t="shared" si="13"/>
        <v>0</v>
      </c>
      <c r="K147" s="228"/>
    </row>
    <row r="148" spans="2:13" x14ac:dyDescent="0.25">
      <c r="B148" s="93"/>
      <c r="C148" s="109" t="s">
        <v>537</v>
      </c>
      <c r="D148" s="95">
        <v>0</v>
      </c>
      <c r="E148" s="95">
        <f>+ED!H162</f>
        <v>0</v>
      </c>
      <c r="F148" s="95">
        <f>+ED!I371</f>
        <v>0</v>
      </c>
      <c r="G148" s="95">
        <f t="shared" si="13"/>
        <v>0</v>
      </c>
      <c r="K148" s="228"/>
    </row>
    <row r="149" spans="2:13" x14ac:dyDescent="0.25">
      <c r="B149" s="93"/>
      <c r="C149" s="93" t="s">
        <v>184</v>
      </c>
      <c r="D149" s="95">
        <v>316326.55000000005</v>
      </c>
      <c r="E149" s="95">
        <f>ED!H194+ED!H182</f>
        <v>48126.16</v>
      </c>
      <c r="F149" s="95">
        <f>+ED!J190</f>
        <v>0.01</v>
      </c>
      <c r="G149" s="95">
        <f t="shared" si="13"/>
        <v>364452.70000000007</v>
      </c>
      <c r="K149" s="228"/>
    </row>
    <row r="150" spans="2:13" ht="18.75" customHeight="1" x14ac:dyDescent="0.25">
      <c r="B150" s="99"/>
      <c r="C150" s="99" t="s">
        <v>183</v>
      </c>
      <c r="D150" s="99">
        <v>859871.13000000012</v>
      </c>
      <c r="E150" s="106">
        <f>+ED!H219+ED!H225+ED!H252</f>
        <v>220069.34</v>
      </c>
      <c r="F150" s="106">
        <v>0</v>
      </c>
      <c r="G150" s="99">
        <f>+D150+E150-F150</f>
        <v>1079940.4700000002</v>
      </c>
      <c r="H150" s="238"/>
      <c r="I150" s="238"/>
      <c r="J150" s="157"/>
      <c r="K150" s="228"/>
    </row>
    <row r="151" spans="2:13" ht="17.25" customHeight="1" x14ac:dyDescent="0.25">
      <c r="B151" s="99"/>
      <c r="C151" s="99" t="s">
        <v>399</v>
      </c>
      <c r="D151" s="99">
        <v>1228109.54</v>
      </c>
      <c r="E151" s="106">
        <f>+ED!H422</f>
        <v>0</v>
      </c>
      <c r="F151" s="106">
        <f>+ED!I422</f>
        <v>0</v>
      </c>
      <c r="G151" s="99">
        <f>+D151+E151-F151</f>
        <v>1228109.54</v>
      </c>
      <c r="K151" s="228"/>
    </row>
    <row r="152" spans="2:13" ht="21" customHeight="1" thickBot="1" x14ac:dyDescent="0.3">
      <c r="B152" s="555"/>
      <c r="C152" s="556" t="s">
        <v>86</v>
      </c>
      <c r="D152" s="557">
        <f>+D7+D59+D60+D66</f>
        <v>113158150.10833333</v>
      </c>
      <c r="E152" s="557">
        <f>+E7+E59+E60+E66</f>
        <v>23453512.407499999</v>
      </c>
      <c r="F152" s="557">
        <f>+F7+F59+F60+F66</f>
        <v>23453512.412500001</v>
      </c>
      <c r="G152" s="557">
        <f>+G7+G59+G60+G66</f>
        <v>131068909.80333331</v>
      </c>
      <c r="H152" s="154"/>
      <c r="I152" s="154"/>
      <c r="J152" s="154"/>
      <c r="K152" s="228"/>
      <c r="L152" s="154"/>
    </row>
    <row r="153" spans="2:13" ht="14.25" customHeight="1" x14ac:dyDescent="0.25">
      <c r="D153" s="53"/>
      <c r="E153" s="52"/>
      <c r="F153" s="53"/>
      <c r="G153" s="53"/>
      <c r="H153" s="147"/>
      <c r="I153" s="147"/>
      <c r="J153" s="157"/>
      <c r="K153" s="157"/>
    </row>
    <row r="154" spans="2:13" x14ac:dyDescent="0.25">
      <c r="C154" s="31" t="s">
        <v>179</v>
      </c>
      <c r="D154" s="359">
        <f>+D7</f>
        <v>23456209.998333335</v>
      </c>
      <c r="E154" s="52">
        <f>+ED!H462</f>
        <v>23453512.407500003</v>
      </c>
      <c r="F154" s="52"/>
      <c r="G154" s="359">
        <f>+G7</f>
        <v>21155135.825833328</v>
      </c>
      <c r="H154" s="238"/>
      <c r="I154" s="238"/>
      <c r="J154" s="154"/>
      <c r="K154" s="154"/>
      <c r="L154" s="159"/>
      <c r="M154" s="5"/>
    </row>
    <row r="155" spans="2:13" x14ac:dyDescent="0.25">
      <c r="C155" s="31" t="s">
        <v>180</v>
      </c>
      <c r="D155" s="153">
        <f>+D38</f>
        <v>12365376.710000001</v>
      </c>
      <c r="E155" s="357">
        <f>+E152-E154</f>
        <v>0</v>
      </c>
      <c r="F155" s="51">
        <f>+F152-E154</f>
        <v>4.9999989569187164E-3</v>
      </c>
      <c r="G155" s="153">
        <f>+G38</f>
        <v>13062915.640000001</v>
      </c>
      <c r="H155" s="238"/>
      <c r="I155" s="238"/>
      <c r="J155" s="154"/>
      <c r="K155" s="65"/>
      <c r="L155" s="159"/>
      <c r="M155" s="5"/>
    </row>
    <row r="156" spans="2:13" x14ac:dyDescent="0.25">
      <c r="C156" s="31" t="s">
        <v>181</v>
      </c>
      <c r="D156" s="153">
        <f>+D57</f>
        <v>11810566.73</v>
      </c>
      <c r="E156" s="51"/>
      <c r="F156" s="51"/>
      <c r="G156" s="153">
        <f>+G57</f>
        <v>11810566.73</v>
      </c>
      <c r="H156" s="238"/>
      <c r="I156" s="238"/>
      <c r="J156" s="441"/>
      <c r="K156" s="154"/>
      <c r="L156" s="159"/>
      <c r="M156" s="5"/>
    </row>
    <row r="157" spans="2:13" ht="16.5" thickBot="1" x14ac:dyDescent="0.3">
      <c r="C157" s="31" t="s">
        <v>88</v>
      </c>
      <c r="D157" s="153">
        <f>+D60</f>
        <v>32403131.620000001</v>
      </c>
      <c r="E157" s="51"/>
      <c r="F157" s="51"/>
      <c r="G157" s="153">
        <f>+G60</f>
        <v>40660972.539999999</v>
      </c>
      <c r="H157" s="238"/>
      <c r="I157" s="238"/>
      <c r="J157" s="440"/>
      <c r="K157" s="154"/>
      <c r="L157" s="159"/>
      <c r="M157" s="5"/>
    </row>
    <row r="158" spans="2:13" ht="15.75" thickTop="1" x14ac:dyDescent="0.25">
      <c r="B158" t="s">
        <v>0</v>
      </c>
      <c r="C158" s="31" t="s">
        <v>182</v>
      </c>
      <c r="D158" s="359">
        <f>+D66</f>
        <v>33122865.049999993</v>
      </c>
      <c r="E158" s="51"/>
      <c r="F158" s="51"/>
      <c r="G158" s="359">
        <f>+G66</f>
        <v>44379319.067499988</v>
      </c>
      <c r="H158" s="238"/>
      <c r="I158" s="238"/>
      <c r="J158" s="154"/>
      <c r="K158" s="154"/>
      <c r="L158" s="159"/>
      <c r="M158" s="5"/>
    </row>
    <row r="159" spans="2:13" x14ac:dyDescent="0.25">
      <c r="C159" s="31" t="s">
        <v>0</v>
      </c>
      <c r="D159" s="54">
        <f>+D154+D158-0.01</f>
        <v>56579075.038333334</v>
      </c>
      <c r="E159" s="51" t="s">
        <v>0</v>
      </c>
      <c r="G159" s="54">
        <f>+G154+G158</f>
        <v>65534454.893333316</v>
      </c>
      <c r="H159" s="238"/>
      <c r="I159" s="238"/>
      <c r="J159" s="154"/>
      <c r="K159" s="154"/>
      <c r="L159" s="159"/>
      <c r="M159" s="51"/>
    </row>
    <row r="160" spans="2:13" x14ac:dyDescent="0.25">
      <c r="D160" s="55">
        <f>+D155+D156+D157</f>
        <v>56579075.060000002</v>
      </c>
      <c r="E160" s="51"/>
      <c r="F160" s="51"/>
      <c r="G160" s="55">
        <f>+G155+G156+G157</f>
        <v>65534454.909999996</v>
      </c>
      <c r="J160" s="154"/>
      <c r="K160" s="154"/>
      <c r="L160" s="159"/>
      <c r="M160" s="5"/>
    </row>
    <row r="161" spans="3:13" x14ac:dyDescent="0.25">
      <c r="D161" s="5">
        <f>+D159-D160</f>
        <v>-2.1666668355464935E-2</v>
      </c>
      <c r="G161" s="254">
        <f>+G159-G160</f>
        <v>-1.6666680574417114E-2</v>
      </c>
      <c r="K161" s="305"/>
      <c r="L161" s="159"/>
      <c r="M161" s="3"/>
    </row>
    <row r="162" spans="3:13" x14ac:dyDescent="0.25">
      <c r="K162" s="305"/>
    </row>
    <row r="163" spans="3:13" x14ac:dyDescent="0.25">
      <c r="K163" s="306"/>
    </row>
    <row r="164" spans="3:13" x14ac:dyDescent="0.25">
      <c r="K164" s="65"/>
    </row>
    <row r="165" spans="3:13" x14ac:dyDescent="0.25">
      <c r="K165" s="65"/>
    </row>
    <row r="166" spans="3:13" x14ac:dyDescent="0.25">
      <c r="C166" t="s">
        <v>0</v>
      </c>
      <c r="K166" s="65"/>
    </row>
    <row r="167" spans="3:13" x14ac:dyDescent="0.25">
      <c r="K167" s="65"/>
    </row>
    <row r="168" spans="3:13" x14ac:dyDescent="0.25">
      <c r="K168" s="154"/>
    </row>
  </sheetData>
  <mergeCells count="5">
    <mergeCell ref="B2:H2"/>
    <mergeCell ref="B4:H4"/>
    <mergeCell ref="B1:H1"/>
    <mergeCell ref="B3:H3"/>
    <mergeCell ref="B5:H5"/>
  </mergeCells>
  <pageMargins left="0.17" right="0.17" top="0.44" bottom="0.5" header="0.49" footer="0.31496062992126"/>
  <pageSetup scale="80" orientation="landscape" r:id="rId1"/>
  <rowBreaks count="3" manualBreakCount="3">
    <brk id="41" min="1" max="7" man="1"/>
    <brk id="80" min="1" max="7" man="1"/>
    <brk id="122"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R671"/>
  <sheetViews>
    <sheetView view="pageBreakPreview" zoomScale="120" zoomScaleNormal="109" zoomScaleSheetLayoutView="120" workbookViewId="0">
      <pane ySplit="1" topLeftCell="A345" activePane="bottomLeft" state="frozen"/>
      <selection activeCell="G17" sqref="G17"/>
      <selection pane="bottomLeft" activeCell="D363" sqref="D363"/>
    </sheetView>
  </sheetViews>
  <sheetFormatPr baseColWidth="10" defaultColWidth="11.42578125" defaultRowHeight="12.75" customHeight="1" x14ac:dyDescent="0.25"/>
  <cols>
    <col min="1" max="1" width="1" customWidth="1"/>
    <col min="2" max="2" width="4.42578125" style="4" customWidth="1"/>
    <col min="3" max="3" width="7.5703125" style="209" customWidth="1"/>
    <col min="4" max="4" width="44.85546875" style="46" customWidth="1"/>
    <col min="5" max="5" width="12.42578125" style="8" customWidth="1"/>
    <col min="6" max="6" width="17" style="8" customWidth="1"/>
    <col min="7" max="7" width="0.5703125" style="8" customWidth="1"/>
    <col min="8" max="8" width="16.28515625" style="7" customWidth="1"/>
    <col min="9" max="9" width="0.42578125" style="7" customWidth="1"/>
    <col min="10" max="10" width="15.7109375" style="7" customWidth="1"/>
    <col min="11" max="11" width="16.7109375" style="31" hidden="1" customWidth="1"/>
    <col min="12" max="12" width="6.28515625" style="4" customWidth="1"/>
    <col min="13" max="13" width="12.7109375" customWidth="1"/>
    <col min="14" max="14" width="12.7109375" style="1" customWidth="1"/>
  </cols>
  <sheetData>
    <row r="1" spans="1:14" ht="20.25" x14ac:dyDescent="0.3">
      <c r="A1" s="852" t="s">
        <v>12</v>
      </c>
      <c r="B1" s="852"/>
      <c r="C1" s="852"/>
      <c r="D1" s="852"/>
      <c r="E1" s="852"/>
      <c r="F1" s="852"/>
      <c r="G1" s="852"/>
      <c r="H1" s="852"/>
      <c r="I1" s="852"/>
      <c r="J1" s="852"/>
    </row>
    <row r="2" spans="1:14" ht="9" customHeight="1" x14ac:dyDescent="0.25">
      <c r="C2" s="166"/>
      <c r="D2" s="30"/>
      <c r="E2"/>
      <c r="F2"/>
      <c r="G2"/>
      <c r="H2"/>
      <c r="I2"/>
      <c r="J2"/>
    </row>
    <row r="3" spans="1:14" ht="21.75" customHeight="1" x14ac:dyDescent="0.25">
      <c r="A3" s="853" t="s">
        <v>825</v>
      </c>
      <c r="B3" s="853"/>
      <c r="C3" s="853"/>
      <c r="D3" s="853"/>
      <c r="E3" s="853"/>
      <c r="F3" s="853"/>
      <c r="G3" s="853"/>
      <c r="H3" s="853"/>
      <c r="I3" s="853"/>
      <c r="J3" s="853"/>
    </row>
    <row r="4" spans="1:14" ht="9" customHeight="1" x14ac:dyDescent="0.25"/>
    <row r="5" spans="1:14" s="34" customFormat="1" ht="22.5" customHeight="1" x14ac:dyDescent="0.25">
      <c r="A5" s="108"/>
      <c r="B5" s="315" t="s">
        <v>13</v>
      </c>
      <c r="C5" s="315" t="s">
        <v>14</v>
      </c>
      <c r="D5" s="843" t="s">
        <v>11</v>
      </c>
      <c r="E5" s="843"/>
      <c r="F5" s="843"/>
      <c r="G5" s="315"/>
      <c r="H5" s="315" t="s">
        <v>15</v>
      </c>
      <c r="I5" s="315"/>
      <c r="J5" s="315" t="s">
        <v>10</v>
      </c>
      <c r="K5" s="366"/>
      <c r="L5" s="33"/>
      <c r="N5" s="420"/>
    </row>
    <row r="6" spans="1:14" ht="14.25" customHeight="1" x14ac:dyDescent="0.25">
      <c r="B6" s="116">
        <v>1</v>
      </c>
      <c r="D6" s="109" t="s">
        <v>16</v>
      </c>
      <c r="E6" s="26"/>
      <c r="F6" s="26"/>
      <c r="G6" s="117"/>
      <c r="H6" s="457">
        <v>7923076.9199999999</v>
      </c>
      <c r="I6" s="118"/>
      <c r="J6" s="118"/>
    </row>
    <row r="7" spans="1:14" ht="12.75" customHeight="1" x14ac:dyDescent="0.25">
      <c r="B7" s="116"/>
      <c r="D7" s="109" t="s">
        <v>17</v>
      </c>
      <c r="E7" s="26"/>
      <c r="F7" s="26"/>
      <c r="G7" s="117"/>
      <c r="H7" s="118"/>
      <c r="I7" s="118"/>
      <c r="J7" s="118"/>
    </row>
    <row r="8" spans="1:14" ht="16.5" customHeight="1" x14ac:dyDescent="0.25">
      <c r="B8" s="116"/>
      <c r="D8" s="109" t="s">
        <v>18</v>
      </c>
      <c r="E8" s="26"/>
      <c r="F8" s="26"/>
      <c r="G8" s="117"/>
      <c r="H8" s="140"/>
      <c r="I8" s="118"/>
      <c r="J8" s="140">
        <f>+H6</f>
        <v>7923076.9199999999</v>
      </c>
    </row>
    <row r="9" spans="1:14" ht="29.25" customHeight="1" thickBot="1" x14ac:dyDescent="0.3">
      <c r="B9" s="116"/>
      <c r="D9" s="846" t="s">
        <v>816</v>
      </c>
      <c r="E9" s="846"/>
      <c r="F9" s="846"/>
      <c r="G9" s="117"/>
      <c r="H9" s="149">
        <f>SUM(H6:H8)</f>
        <v>7923076.9199999999</v>
      </c>
      <c r="I9" s="119"/>
      <c r="J9" s="149">
        <f>SUM(J8)</f>
        <v>7923076.9199999999</v>
      </c>
      <c r="K9" s="16">
        <f>+H9-J9</f>
        <v>0</v>
      </c>
    </row>
    <row r="10" spans="1:14" ht="12" customHeight="1" thickTop="1" x14ac:dyDescent="0.25">
      <c r="B10" s="116"/>
      <c r="D10" s="115"/>
      <c r="E10" s="115"/>
      <c r="F10" s="115"/>
      <c r="G10" s="117"/>
      <c r="H10" s="120"/>
      <c r="I10" s="120"/>
      <c r="J10" s="120"/>
      <c r="K10" s="16"/>
    </row>
    <row r="11" spans="1:14" ht="12" customHeight="1" x14ac:dyDescent="0.25">
      <c r="B11" s="116"/>
      <c r="D11" s="115"/>
      <c r="E11" s="115"/>
      <c r="F11" s="115"/>
      <c r="G11" s="117"/>
      <c r="H11" s="26"/>
      <c r="I11" s="120"/>
      <c r="J11" s="120"/>
      <c r="K11" s="16"/>
    </row>
    <row r="12" spans="1:14" ht="12.75" customHeight="1" x14ac:dyDescent="0.25">
      <c r="B12" s="116">
        <v>2</v>
      </c>
      <c r="D12" s="109" t="s">
        <v>16</v>
      </c>
      <c r="E12" s="26"/>
      <c r="G12" s="117"/>
      <c r="H12" s="457">
        <v>1961.2</v>
      </c>
      <c r="I12" s="118"/>
      <c r="J12" s="118"/>
    </row>
    <row r="13" spans="1:14" ht="12.75" customHeight="1" x14ac:dyDescent="0.25">
      <c r="B13" s="116"/>
      <c r="D13" s="109" t="s">
        <v>17</v>
      </c>
      <c r="E13" s="26"/>
      <c r="F13" s="26"/>
      <c r="G13" s="117"/>
      <c r="H13" s="118"/>
      <c r="I13" s="118"/>
      <c r="J13" s="118"/>
    </row>
    <row r="14" spans="1:14" ht="12.75" customHeight="1" x14ac:dyDescent="0.25">
      <c r="B14" s="116"/>
      <c r="D14" s="145" t="s">
        <v>978</v>
      </c>
      <c r="E14" s="26"/>
      <c r="F14" s="26"/>
      <c r="G14" s="117"/>
      <c r="H14" s="118"/>
      <c r="I14" s="118"/>
      <c r="J14" s="118">
        <f>+H12</f>
        <v>1961.2</v>
      </c>
    </row>
    <row r="15" spans="1:14" ht="71.25" customHeight="1" thickBot="1" x14ac:dyDescent="0.3">
      <c r="B15" s="116"/>
      <c r="D15" s="846" t="s">
        <v>985</v>
      </c>
      <c r="E15" s="846"/>
      <c r="F15" s="846"/>
      <c r="G15" s="117"/>
      <c r="H15" s="149">
        <f>SUM(H12:H14)</f>
        <v>1961.2</v>
      </c>
      <c r="I15" s="119"/>
      <c r="J15" s="149">
        <f>SUM(J12:J14)</f>
        <v>1961.2</v>
      </c>
      <c r="K15" s="16">
        <f>+H15-J15</f>
        <v>0</v>
      </c>
    </row>
    <row r="16" spans="1:14" ht="12" customHeight="1" thickTop="1" x14ac:dyDescent="0.25">
      <c r="B16" s="116"/>
      <c r="D16" s="115"/>
      <c r="E16" s="115"/>
      <c r="F16" s="115"/>
      <c r="G16" s="117"/>
      <c r="H16" s="119"/>
      <c r="I16" s="119"/>
      <c r="J16" s="119"/>
      <c r="K16" s="16"/>
    </row>
    <row r="17" spans="2:11" ht="12" customHeight="1" x14ac:dyDescent="0.25">
      <c r="B17" s="116"/>
      <c r="D17" s="115"/>
      <c r="E17" s="115"/>
      <c r="F17" s="115"/>
      <c r="G17" s="117"/>
      <c r="H17" s="119"/>
      <c r="I17" s="119"/>
      <c r="J17" s="119"/>
      <c r="K17" s="16"/>
    </row>
    <row r="18" spans="2:11" ht="16.5" customHeight="1" x14ac:dyDescent="0.25">
      <c r="B18" s="116">
        <v>3</v>
      </c>
      <c r="D18" t="s">
        <v>8</v>
      </c>
      <c r="E18" s="174"/>
      <c r="F18" s="174"/>
      <c r="G18" s="117"/>
      <c r="H18" s="578"/>
      <c r="I18" s="414"/>
      <c r="J18" s="812">
        <f>237465.6/4000</f>
        <v>59.366399999999999</v>
      </c>
      <c r="K18" s="16"/>
    </row>
    <row r="19" spans="2:11" ht="12.75" customHeight="1" x14ac:dyDescent="0.25">
      <c r="B19" s="116"/>
      <c r="D19" s="145" t="s">
        <v>17</v>
      </c>
      <c r="E19" s="174"/>
      <c r="F19" s="174"/>
      <c r="G19" s="117"/>
      <c r="H19" s="414"/>
      <c r="I19" s="414"/>
      <c r="J19" s="414"/>
    </row>
    <row r="20" spans="2:11" ht="15" customHeight="1" x14ac:dyDescent="0.25">
      <c r="B20" s="116"/>
      <c r="D20" s="109" t="s">
        <v>16</v>
      </c>
      <c r="E20" s="174"/>
      <c r="F20" s="174"/>
      <c r="G20" s="133"/>
      <c r="H20" s="414"/>
      <c r="I20" s="414"/>
      <c r="J20" s="414">
        <f>+H18</f>
        <v>0</v>
      </c>
      <c r="K20" s="367"/>
    </row>
    <row r="21" spans="2:11" ht="18.75" customHeight="1" thickBot="1" x14ac:dyDescent="0.3">
      <c r="B21" s="116"/>
      <c r="D21" s="846"/>
      <c r="E21" s="846"/>
      <c r="F21" s="846"/>
      <c r="G21" s="117"/>
      <c r="H21" s="149">
        <f>SUM(H18:H20)</f>
        <v>0</v>
      </c>
      <c r="I21" s="119"/>
      <c r="J21" s="149">
        <f>SUM(J20:J20)</f>
        <v>0</v>
      </c>
      <c r="K21" s="16">
        <f>+H21-J21</f>
        <v>0</v>
      </c>
    </row>
    <row r="22" spans="2:11" ht="12" customHeight="1" thickTop="1" x14ac:dyDescent="0.25">
      <c r="B22" s="116"/>
      <c r="D22" s="115"/>
      <c r="E22" s="115"/>
      <c r="F22" s="115"/>
      <c r="G22" s="117"/>
      <c r="H22" s="119"/>
      <c r="I22" s="119"/>
      <c r="J22" s="119"/>
      <c r="K22" s="16"/>
    </row>
    <row r="23" spans="2:11" ht="12" customHeight="1" x14ac:dyDescent="0.25">
      <c r="B23" s="116"/>
      <c r="D23" s="115"/>
      <c r="E23" s="115"/>
      <c r="F23" s="115"/>
      <c r="G23" s="117"/>
      <c r="H23" s="119"/>
      <c r="I23" s="119"/>
      <c r="J23" s="119"/>
      <c r="K23" s="16"/>
    </row>
    <row r="24" spans="2:11" ht="16.5" customHeight="1" x14ac:dyDescent="0.25">
      <c r="B24" s="116">
        <v>4</v>
      </c>
      <c r="D24" s="109" t="s">
        <v>561</v>
      </c>
      <c r="E24" s="26"/>
      <c r="F24" s="26"/>
      <c r="G24" s="117"/>
      <c r="H24" s="118">
        <v>332050</v>
      </c>
      <c r="I24" s="228"/>
      <c r="J24" s="228"/>
    </row>
    <row r="25" spans="2:11" ht="12.75" customHeight="1" x14ac:dyDescent="0.25">
      <c r="B25" s="116"/>
      <c r="D25" s="145" t="s">
        <v>17</v>
      </c>
      <c r="E25" s="26"/>
      <c r="F25" s="26"/>
      <c r="G25" s="117"/>
      <c r="H25" s="228"/>
      <c r="I25" s="228"/>
      <c r="J25" s="228"/>
    </row>
    <row r="26" spans="2:11" ht="12.75" customHeight="1" x14ac:dyDescent="0.25">
      <c r="B26" s="116"/>
      <c r="D26" s="109" t="s">
        <v>18</v>
      </c>
      <c r="E26" s="174"/>
      <c r="F26" s="174"/>
      <c r="G26" s="133"/>
      <c r="H26" s="228"/>
      <c r="I26" s="228"/>
      <c r="J26" s="118">
        <f>+H24</f>
        <v>332050</v>
      </c>
    </row>
    <row r="27" spans="2:11" ht="48" customHeight="1" thickBot="1" x14ac:dyDescent="0.3">
      <c r="B27" s="116"/>
      <c r="D27" s="846" t="s">
        <v>973</v>
      </c>
      <c r="E27" s="846"/>
      <c r="F27" s="846"/>
      <c r="G27" s="117"/>
      <c r="H27" s="149">
        <f>SUM(H24:H26)</f>
        <v>332050</v>
      </c>
      <c r="I27" s="119"/>
      <c r="J27" s="149">
        <f>SUM(J26:J26)</f>
        <v>332050</v>
      </c>
      <c r="K27" s="16">
        <f>+H27-J27</f>
        <v>0</v>
      </c>
    </row>
    <row r="28" spans="2:11" ht="12" customHeight="1" thickTop="1" x14ac:dyDescent="0.25">
      <c r="B28" s="116"/>
      <c r="D28" s="115"/>
      <c r="E28" s="115"/>
      <c r="F28" s="115"/>
      <c r="G28" s="117"/>
      <c r="H28" s="119"/>
      <c r="I28" s="119"/>
      <c r="J28" s="119"/>
      <c r="K28" s="16"/>
    </row>
    <row r="29" spans="2:11" ht="12" customHeight="1" x14ac:dyDescent="0.25">
      <c r="B29" s="116"/>
      <c r="D29" s="115"/>
      <c r="E29" s="115"/>
      <c r="F29" s="115"/>
      <c r="G29" s="117"/>
      <c r="H29" s="119"/>
      <c r="I29" s="119"/>
      <c r="J29" s="119"/>
      <c r="K29" s="16"/>
    </row>
    <row r="30" spans="2:11" ht="15" customHeight="1" x14ac:dyDescent="0.25">
      <c r="B30" s="116">
        <v>5</v>
      </c>
      <c r="D30" s="109" t="s">
        <v>553</v>
      </c>
      <c r="E30" s="26"/>
      <c r="F30" s="26"/>
      <c r="G30" s="117"/>
      <c r="H30" s="457">
        <v>752.8</v>
      </c>
      <c r="I30" s="118"/>
      <c r="J30" s="118"/>
    </row>
    <row r="31" spans="2:11" ht="12.75" customHeight="1" x14ac:dyDescent="0.25">
      <c r="B31" s="116"/>
      <c r="D31" s="109" t="s">
        <v>17</v>
      </c>
      <c r="E31" s="26"/>
      <c r="F31" s="26"/>
      <c r="G31" s="117"/>
      <c r="H31" s="118"/>
      <c r="I31" s="118"/>
      <c r="J31" s="118"/>
    </row>
    <row r="32" spans="2:11" ht="16.5" customHeight="1" x14ac:dyDescent="0.25">
      <c r="B32" s="116"/>
      <c r="C32" s="318"/>
      <c r="D32" s="145" t="s">
        <v>978</v>
      </c>
      <c r="E32" s="26"/>
      <c r="F32" s="26"/>
      <c r="G32" s="117"/>
      <c r="H32" s="140"/>
      <c r="I32" s="118"/>
      <c r="J32" s="118">
        <f>+H30</f>
        <v>752.8</v>
      </c>
    </row>
    <row r="33" spans="2:11" ht="73.5" customHeight="1" thickBot="1" x14ac:dyDescent="0.3">
      <c r="B33" s="116"/>
      <c r="D33" s="845" t="s">
        <v>979</v>
      </c>
      <c r="E33" s="845"/>
      <c r="F33" s="845"/>
      <c r="G33" s="117"/>
      <c r="H33" s="149">
        <f>SUM(H30:H32)</f>
        <v>752.8</v>
      </c>
      <c r="I33" s="119"/>
      <c r="J33" s="149">
        <f>SUM(J32)</f>
        <v>752.8</v>
      </c>
      <c r="K33" s="16">
        <f>+H33-J33</f>
        <v>0</v>
      </c>
    </row>
    <row r="34" spans="2:11" ht="12" customHeight="1" thickTop="1" x14ac:dyDescent="0.25">
      <c r="B34" s="116"/>
      <c r="D34" s="250"/>
      <c r="E34" s="250"/>
      <c r="F34" s="250"/>
      <c r="G34" s="117"/>
      <c r="H34" s="119"/>
      <c r="I34" s="119"/>
      <c r="J34" s="119"/>
      <c r="K34" s="16"/>
    </row>
    <row r="35" spans="2:11" ht="12" customHeight="1" x14ac:dyDescent="0.25">
      <c r="B35" s="116"/>
      <c r="D35" s="250"/>
      <c r="E35" s="250"/>
      <c r="F35" s="250"/>
      <c r="G35" s="117"/>
      <c r="H35" s="119"/>
      <c r="I35" s="119"/>
      <c r="J35" s="119"/>
      <c r="K35" s="16"/>
    </row>
    <row r="36" spans="2:11" ht="16.5" customHeight="1" x14ac:dyDescent="0.25">
      <c r="B36" s="116">
        <v>6</v>
      </c>
      <c r="D36" s="109" t="s">
        <v>553</v>
      </c>
      <c r="E36" s="26"/>
      <c r="F36" s="26"/>
      <c r="G36" s="117"/>
      <c r="H36" s="457">
        <v>0</v>
      </c>
      <c r="I36" s="118"/>
      <c r="J36" s="118"/>
    </row>
    <row r="37" spans="2:11" ht="12.75" customHeight="1" x14ac:dyDescent="0.25">
      <c r="B37" s="116"/>
      <c r="D37" s="109" t="s">
        <v>17</v>
      </c>
      <c r="E37" s="26"/>
      <c r="F37" s="26"/>
      <c r="G37" s="117"/>
      <c r="H37" s="118"/>
      <c r="I37" s="118"/>
      <c r="J37" s="118"/>
      <c r="K37" s="16"/>
    </row>
    <row r="38" spans="2:11" ht="17.25" customHeight="1" x14ac:dyDescent="0.25">
      <c r="B38" s="116"/>
      <c r="D38" s="109" t="s">
        <v>75</v>
      </c>
      <c r="E38" s="26"/>
      <c r="F38" s="26"/>
      <c r="G38" s="117"/>
      <c r="H38" s="118"/>
      <c r="I38" s="118"/>
      <c r="J38" s="118">
        <v>0</v>
      </c>
    </row>
    <row r="39" spans="2:11" ht="17.25" customHeight="1" thickBot="1" x14ac:dyDescent="0.3">
      <c r="B39" s="116"/>
      <c r="D39" s="845"/>
      <c r="E39" s="845"/>
      <c r="F39" s="845"/>
      <c r="G39" s="117"/>
      <c r="H39" s="149">
        <f>SUM(H36:H38)</f>
        <v>0</v>
      </c>
      <c r="I39" s="119"/>
      <c r="J39" s="149">
        <f>SUM(J36:J38)</f>
        <v>0</v>
      </c>
      <c r="K39" s="16">
        <f>+H39-J39</f>
        <v>0</v>
      </c>
    </row>
    <row r="40" spans="2:11" ht="12" customHeight="1" thickTop="1" x14ac:dyDescent="0.25">
      <c r="B40" s="116"/>
      <c r="D40" s="115"/>
      <c r="E40" s="115"/>
      <c r="F40" s="115"/>
      <c r="G40" s="117"/>
      <c r="H40" s="119"/>
      <c r="I40" s="119"/>
      <c r="J40" s="119"/>
      <c r="K40" s="16"/>
    </row>
    <row r="41" spans="2:11" ht="12" customHeight="1" x14ac:dyDescent="0.25">
      <c r="B41" s="116"/>
      <c r="D41" s="115"/>
      <c r="E41" s="115"/>
      <c r="F41" s="115"/>
      <c r="G41" s="117"/>
      <c r="H41" s="119"/>
      <c r="I41" s="119"/>
      <c r="J41" s="119"/>
      <c r="K41" s="16"/>
    </row>
    <row r="42" spans="2:11" ht="16.5" customHeight="1" x14ac:dyDescent="0.25">
      <c r="B42" s="116">
        <v>7</v>
      </c>
      <c r="D42" s="109" t="s">
        <v>553</v>
      </c>
      <c r="E42" s="26"/>
      <c r="F42" s="26"/>
      <c r="G42" s="117"/>
      <c r="H42" s="414">
        <v>0</v>
      </c>
      <c r="I42" s="414"/>
      <c r="J42" s="414"/>
    </row>
    <row r="43" spans="2:11" ht="12.75" customHeight="1" x14ac:dyDescent="0.25">
      <c r="B43" s="116"/>
      <c r="D43" s="109" t="s">
        <v>17</v>
      </c>
      <c r="E43" s="26"/>
      <c r="F43" s="26"/>
      <c r="G43" s="117"/>
      <c r="H43" s="414"/>
      <c r="I43" s="414"/>
      <c r="J43" s="414"/>
      <c r="K43" s="16"/>
    </row>
    <row r="44" spans="2:11" ht="17.25" customHeight="1" x14ac:dyDescent="0.25">
      <c r="B44" s="116"/>
      <c r="D44" s="410" t="s">
        <v>75</v>
      </c>
      <c r="E44" s="26"/>
      <c r="F44" s="26"/>
      <c r="G44" s="117"/>
      <c r="H44" s="414"/>
      <c r="I44" s="414"/>
      <c r="J44" s="414">
        <v>0</v>
      </c>
    </row>
    <row r="45" spans="2:11" ht="19.5" customHeight="1" thickBot="1" x14ac:dyDescent="0.3">
      <c r="B45" s="116"/>
      <c r="D45" s="847"/>
      <c r="E45" s="847"/>
      <c r="F45" s="847"/>
      <c r="G45" s="117"/>
      <c r="H45" s="149">
        <f>SUM(H42:H44)</f>
        <v>0</v>
      </c>
      <c r="I45" s="119"/>
      <c r="J45" s="149">
        <f>SUM(J42:J44)</f>
        <v>0</v>
      </c>
      <c r="K45" s="16">
        <f>+H45-J45</f>
        <v>0</v>
      </c>
    </row>
    <row r="46" spans="2:11" ht="12" customHeight="1" thickTop="1" x14ac:dyDescent="0.25">
      <c r="B46" s="116"/>
      <c r="D46" s="250"/>
      <c r="E46" s="250"/>
      <c r="F46" s="250"/>
      <c r="G46" s="117"/>
      <c r="H46" s="119"/>
      <c r="I46" s="119"/>
      <c r="J46" s="119"/>
      <c r="K46" s="16"/>
    </row>
    <row r="47" spans="2:11" ht="12" customHeight="1" x14ac:dyDescent="0.25">
      <c r="B47" s="116"/>
      <c r="D47" s="250"/>
      <c r="E47" s="250"/>
      <c r="F47" s="250"/>
      <c r="G47" s="117"/>
      <c r="H47" s="119"/>
      <c r="I47" s="119"/>
      <c r="J47" s="119"/>
      <c r="K47" s="16"/>
    </row>
    <row r="48" spans="2:11" ht="16.5" customHeight="1" x14ac:dyDescent="0.25">
      <c r="B48" s="116">
        <v>8</v>
      </c>
      <c r="D48" s="109" t="s">
        <v>553</v>
      </c>
      <c r="E48" s="26"/>
      <c r="F48" s="26"/>
      <c r="G48" s="117"/>
      <c r="H48" s="118">
        <v>0</v>
      </c>
      <c r="I48" s="118"/>
      <c r="J48" s="118"/>
    </row>
    <row r="49" spans="2:11" ht="12.75" customHeight="1" x14ac:dyDescent="0.25">
      <c r="B49" s="116"/>
      <c r="D49" s="109" t="s">
        <v>17</v>
      </c>
      <c r="E49" s="26"/>
      <c r="F49" s="26"/>
      <c r="G49" s="117"/>
      <c r="H49" s="118"/>
      <c r="I49" s="118"/>
      <c r="J49" s="118"/>
    </row>
    <row r="50" spans="2:11" ht="16.5" customHeight="1" x14ac:dyDescent="0.25">
      <c r="B50" s="116"/>
      <c r="D50" s="410" t="s">
        <v>75</v>
      </c>
      <c r="E50" s="26"/>
      <c r="F50" s="26"/>
      <c r="G50" s="117"/>
      <c r="H50" s="140"/>
      <c r="I50" s="118"/>
      <c r="J50" s="140">
        <f>+H48</f>
        <v>0</v>
      </c>
    </row>
    <row r="51" spans="2:11" ht="17.25" customHeight="1" thickBot="1" x14ac:dyDescent="0.3">
      <c r="B51" s="116"/>
      <c r="D51" s="845"/>
      <c r="E51" s="845"/>
      <c r="F51" s="845"/>
      <c r="G51" s="117"/>
      <c r="H51" s="149">
        <f>SUM(H48:H50)</f>
        <v>0</v>
      </c>
      <c r="I51" s="119"/>
      <c r="J51" s="149">
        <f>SUM(J50)</f>
        <v>0</v>
      </c>
      <c r="K51" s="16">
        <f>+H51-J51</f>
        <v>0</v>
      </c>
    </row>
    <row r="52" spans="2:11" ht="15" customHeight="1" thickTop="1" x14ac:dyDescent="0.25">
      <c r="B52" s="116"/>
      <c r="E52" s="250"/>
      <c r="F52" s="250"/>
      <c r="G52" s="117"/>
      <c r="H52" s="119"/>
      <c r="I52" s="119"/>
      <c r="J52" s="119"/>
      <c r="K52" s="16"/>
    </row>
    <row r="53" spans="2:11" ht="12.75" customHeight="1" x14ac:dyDescent="0.25">
      <c r="B53" s="116">
        <v>9</v>
      </c>
      <c r="D53" s="109" t="s">
        <v>553</v>
      </c>
      <c r="E53" s="26"/>
      <c r="F53" s="26"/>
      <c r="G53" s="117"/>
      <c r="H53" s="457">
        <v>0</v>
      </c>
      <c r="I53" s="457"/>
      <c r="J53" s="457"/>
    </row>
    <row r="54" spans="2:11" ht="12" customHeight="1" x14ac:dyDescent="0.25">
      <c r="B54" s="116"/>
      <c r="D54" s="109" t="s">
        <v>17</v>
      </c>
      <c r="E54" s="26"/>
      <c r="F54" s="26"/>
      <c r="G54" s="117"/>
      <c r="H54" s="457"/>
      <c r="I54" s="457"/>
      <c r="J54" s="457"/>
    </row>
    <row r="55" spans="2:11" ht="16.5" customHeight="1" x14ac:dyDescent="0.25">
      <c r="B55" s="116"/>
      <c r="D55" s="410" t="s">
        <v>75</v>
      </c>
      <c r="E55" s="26"/>
      <c r="F55" s="26"/>
      <c r="G55" s="117"/>
      <c r="H55" s="411"/>
      <c r="I55" s="411"/>
      <c r="J55" s="457">
        <f>+H53</f>
        <v>0</v>
      </c>
    </row>
    <row r="56" spans="2:11" ht="18.75" customHeight="1" thickBot="1" x14ac:dyDescent="0.3">
      <c r="B56" s="116"/>
      <c r="D56" s="845"/>
      <c r="E56" s="845"/>
      <c r="F56" s="845"/>
      <c r="G56" s="117"/>
      <c r="H56" s="149">
        <f>SUM(H53:H55)</f>
        <v>0</v>
      </c>
      <c r="I56" s="119"/>
      <c r="J56" s="149">
        <f>SUM(J55)</f>
        <v>0</v>
      </c>
      <c r="K56" s="16">
        <f>+H56-J56</f>
        <v>0</v>
      </c>
    </row>
    <row r="57" spans="2:11" ht="12" customHeight="1" thickTop="1" x14ac:dyDescent="0.25">
      <c r="B57" s="116"/>
      <c r="D57" s="109"/>
      <c r="E57" s="26"/>
      <c r="F57" s="26"/>
      <c r="G57" s="283"/>
      <c r="H57" s="119"/>
      <c r="I57" s="119"/>
      <c r="J57" s="119"/>
    </row>
    <row r="58" spans="2:11" ht="12" customHeight="1" x14ac:dyDescent="0.25">
      <c r="B58" s="116"/>
      <c r="D58" s="109"/>
      <c r="E58" s="26"/>
      <c r="F58" s="26"/>
      <c r="G58" s="283"/>
      <c r="H58" s="119"/>
      <c r="I58" s="119"/>
      <c r="J58" s="119"/>
    </row>
    <row r="59" spans="2:11" ht="12.75" customHeight="1" x14ac:dyDescent="0.25">
      <c r="B59" s="116">
        <v>10</v>
      </c>
      <c r="D59" s="109" t="s">
        <v>553</v>
      </c>
      <c r="E59" s="26"/>
      <c r="F59" s="26"/>
      <c r="G59" s="117"/>
      <c r="H59" s="118">
        <v>0</v>
      </c>
      <c r="I59" s="118"/>
      <c r="J59" s="118"/>
    </row>
    <row r="60" spans="2:11" ht="12" customHeight="1" x14ac:dyDescent="0.25">
      <c r="B60" s="116"/>
      <c r="D60" s="109" t="s">
        <v>17</v>
      </c>
      <c r="E60" s="26"/>
      <c r="F60" s="26"/>
      <c r="G60" s="117"/>
      <c r="H60" s="118"/>
      <c r="I60" s="118"/>
      <c r="J60" s="118"/>
    </row>
    <row r="61" spans="2:11" ht="16.5" customHeight="1" x14ac:dyDescent="0.25">
      <c r="B61" s="116"/>
      <c r="D61" s="410" t="s">
        <v>75</v>
      </c>
      <c r="E61" s="26"/>
      <c r="F61" s="26"/>
      <c r="G61" s="117"/>
      <c r="H61" s="121"/>
      <c r="I61" s="121"/>
      <c r="J61" s="118">
        <f>+H59</f>
        <v>0</v>
      </c>
    </row>
    <row r="62" spans="2:11" ht="19.5" customHeight="1" thickBot="1" x14ac:dyDescent="0.3">
      <c r="B62" s="116"/>
      <c r="D62" s="850"/>
      <c r="E62" s="850"/>
      <c r="F62" s="850"/>
      <c r="G62" s="117"/>
      <c r="H62" s="149">
        <f>SUM(H59:H61)</f>
        <v>0</v>
      </c>
      <c r="I62" s="119"/>
      <c r="J62" s="149">
        <f>SUM(J61)</f>
        <v>0</v>
      </c>
      <c r="K62" s="16">
        <f>+H62-J62</f>
        <v>0</v>
      </c>
    </row>
    <row r="63" spans="2:11" ht="12" customHeight="1" thickTop="1" x14ac:dyDescent="0.25">
      <c r="B63" s="116"/>
      <c r="D63" s="250"/>
      <c r="E63" s="250"/>
      <c r="F63" s="250"/>
      <c r="G63" s="117"/>
      <c r="H63" s="119"/>
      <c r="I63" s="119"/>
      <c r="J63" s="119"/>
      <c r="K63" s="16"/>
    </row>
    <row r="64" spans="2:11" ht="12" customHeight="1" x14ac:dyDescent="0.25">
      <c r="B64" s="116"/>
      <c r="D64" s="250"/>
      <c r="E64" s="250"/>
      <c r="F64" s="250"/>
      <c r="G64" s="117"/>
      <c r="H64" s="119"/>
      <c r="I64" s="119"/>
      <c r="J64" s="119"/>
      <c r="K64" s="16"/>
    </row>
    <row r="65" spans="2:14" ht="12.75" customHeight="1" x14ac:dyDescent="0.25">
      <c r="B65" s="116">
        <v>11</v>
      </c>
      <c r="D65" s="109" t="s">
        <v>553</v>
      </c>
      <c r="E65" s="26"/>
      <c r="F65" s="26"/>
      <c r="G65" s="117"/>
      <c r="H65" s="118">
        <v>0</v>
      </c>
      <c r="I65" s="118"/>
      <c r="J65" s="118"/>
    </row>
    <row r="66" spans="2:14" ht="12" customHeight="1" x14ac:dyDescent="0.25">
      <c r="B66" s="116"/>
      <c r="D66" s="109" t="s">
        <v>17</v>
      </c>
      <c r="E66" s="26"/>
      <c r="F66" s="26"/>
      <c r="G66" s="117"/>
      <c r="H66" s="118"/>
      <c r="I66" s="118"/>
      <c r="J66" s="118"/>
    </row>
    <row r="67" spans="2:14" ht="16.5" customHeight="1" x14ac:dyDescent="0.25">
      <c r="B67" s="116"/>
      <c r="D67" s="109" t="s">
        <v>75</v>
      </c>
      <c r="E67" s="26"/>
      <c r="F67" s="26"/>
      <c r="G67" s="117"/>
      <c r="H67" s="121"/>
      <c r="I67" s="121"/>
      <c r="J67" s="118">
        <f>+H65</f>
        <v>0</v>
      </c>
    </row>
    <row r="68" spans="2:14" ht="18.75" customHeight="1" thickBot="1" x14ac:dyDescent="0.3">
      <c r="B68" s="116"/>
      <c r="D68" s="850"/>
      <c r="E68" s="850"/>
      <c r="F68" s="850"/>
      <c r="G68" s="117"/>
      <c r="H68" s="149">
        <f>SUM(H65:H67)</f>
        <v>0</v>
      </c>
      <c r="I68" s="119"/>
      <c r="J68" s="149">
        <f>SUM(J67)</f>
        <v>0</v>
      </c>
      <c r="K68" s="16">
        <f>+H68-J68</f>
        <v>0</v>
      </c>
    </row>
    <row r="69" spans="2:14" ht="12" customHeight="1" thickTop="1" x14ac:dyDescent="0.25">
      <c r="B69" s="116"/>
      <c r="D69" s="109"/>
      <c r="E69" s="26"/>
      <c r="F69" s="26"/>
      <c r="G69" s="283"/>
      <c r="H69" s="119"/>
      <c r="I69" s="119"/>
      <c r="J69" s="119"/>
    </row>
    <row r="70" spans="2:14" ht="12" customHeight="1" x14ac:dyDescent="0.25">
      <c r="B70" s="116"/>
      <c r="D70" s="109"/>
      <c r="E70" s="26"/>
      <c r="F70" s="26"/>
      <c r="G70" s="283"/>
      <c r="H70" s="119"/>
      <c r="I70" s="119"/>
      <c r="J70" s="119"/>
    </row>
    <row r="71" spans="2:14" s="8" customFormat="1" ht="12.75" customHeight="1" x14ac:dyDescent="0.25">
      <c r="B71" s="132">
        <v>12</v>
      </c>
      <c r="C71" s="316"/>
      <c r="D71" s="145" t="s">
        <v>553</v>
      </c>
      <c r="E71" s="174"/>
      <c r="F71" s="174"/>
      <c r="G71" s="117"/>
      <c r="H71" s="118">
        <v>0</v>
      </c>
      <c r="I71" s="118"/>
      <c r="J71" s="118"/>
      <c r="K71" s="368"/>
      <c r="L71" s="369"/>
      <c r="N71" s="187"/>
    </row>
    <row r="72" spans="2:14" s="8" customFormat="1" ht="12" customHeight="1" x14ac:dyDescent="0.25">
      <c r="B72" s="132"/>
      <c r="C72" s="316"/>
      <c r="D72" s="145" t="s">
        <v>17</v>
      </c>
      <c r="E72" s="174"/>
      <c r="F72" s="174"/>
      <c r="G72" s="117"/>
      <c r="H72" s="118"/>
      <c r="I72" s="118"/>
      <c r="J72" s="118"/>
      <c r="K72" s="368"/>
      <c r="L72" s="369"/>
      <c r="N72" s="187"/>
    </row>
    <row r="73" spans="2:14" s="8" customFormat="1" ht="16.5" customHeight="1" x14ac:dyDescent="0.25">
      <c r="B73" s="132"/>
      <c r="C73" s="316"/>
      <c r="D73" s="145" t="s">
        <v>75</v>
      </c>
      <c r="E73" s="174"/>
      <c r="F73" s="174"/>
      <c r="G73" s="117"/>
      <c r="H73" s="121"/>
      <c r="I73" s="121"/>
      <c r="J73" s="118">
        <f>+H71</f>
        <v>0</v>
      </c>
      <c r="K73" s="368"/>
      <c r="L73" s="369"/>
      <c r="N73" s="187"/>
    </row>
    <row r="74" spans="2:14" s="8" customFormat="1" ht="20.25" customHeight="1" thickBot="1" x14ac:dyDescent="0.3">
      <c r="B74" s="132"/>
      <c r="C74" s="316"/>
      <c r="D74" s="850"/>
      <c r="E74" s="850"/>
      <c r="F74" s="850"/>
      <c r="G74" s="117"/>
      <c r="H74" s="149">
        <f>SUM(H71:H73)</f>
        <v>0</v>
      </c>
      <c r="I74" s="119"/>
      <c r="J74" s="149">
        <f>SUM(J73)</f>
        <v>0</v>
      </c>
      <c r="K74" s="370">
        <f>+H74-J74</f>
        <v>0</v>
      </c>
      <c r="L74" s="369"/>
      <c r="N74" s="187"/>
    </row>
    <row r="75" spans="2:14" s="8" customFormat="1" ht="12" customHeight="1" thickTop="1" x14ac:dyDescent="0.25">
      <c r="B75" s="132"/>
      <c r="C75" s="316"/>
      <c r="D75" s="399"/>
      <c r="E75" s="399"/>
      <c r="F75" s="399"/>
      <c r="G75" s="400"/>
      <c r="H75" s="401"/>
      <c r="I75" s="401"/>
      <c r="J75" s="401"/>
      <c r="K75" s="370"/>
      <c r="L75" s="369"/>
      <c r="N75" s="187"/>
    </row>
    <row r="76" spans="2:14" ht="12" customHeight="1" x14ac:dyDescent="0.25">
      <c r="B76" s="116"/>
      <c r="D76" s="109"/>
      <c r="E76" s="26"/>
      <c r="F76" s="26"/>
      <c r="G76" s="283"/>
      <c r="H76" s="119"/>
      <c r="I76" s="119"/>
      <c r="J76" s="119"/>
    </row>
    <row r="77" spans="2:14" ht="12.75" customHeight="1" x14ac:dyDescent="0.25">
      <c r="B77" s="116">
        <v>13</v>
      </c>
      <c r="D77" s="145" t="s">
        <v>553</v>
      </c>
      <c r="E77" s="26"/>
      <c r="F77" s="26" t="s">
        <v>0</v>
      </c>
      <c r="G77" s="117"/>
      <c r="H77" s="118">
        <v>0</v>
      </c>
      <c r="I77" s="118"/>
      <c r="J77" s="118"/>
    </row>
    <row r="78" spans="2:14" ht="12.75" customHeight="1" x14ac:dyDescent="0.25">
      <c r="B78" s="116"/>
      <c r="D78" s="109" t="s">
        <v>17</v>
      </c>
      <c r="E78" s="26"/>
      <c r="F78" s="26"/>
      <c r="G78" s="117"/>
      <c r="H78" s="121"/>
      <c r="I78" s="121"/>
      <c r="J78" s="121"/>
    </row>
    <row r="79" spans="2:14" ht="12.75" customHeight="1" x14ac:dyDescent="0.25">
      <c r="B79" s="116"/>
      <c r="D79" s="145" t="s">
        <v>75</v>
      </c>
      <c r="E79" s="174"/>
      <c r="F79" s="174"/>
      <c r="G79" s="117"/>
      <c r="H79" s="118"/>
      <c r="I79" s="118"/>
      <c r="J79" s="118">
        <f>+H77</f>
        <v>0</v>
      </c>
    </row>
    <row r="80" spans="2:14" ht="23.25" customHeight="1" thickBot="1" x14ac:dyDescent="0.3">
      <c r="B80" s="116"/>
      <c r="D80" s="849"/>
      <c r="E80" s="849"/>
      <c r="F80" s="849"/>
      <c r="G80" s="145"/>
      <c r="H80" s="149">
        <f>SUM(H77:H79)</f>
        <v>0</v>
      </c>
      <c r="I80" s="119"/>
      <c r="J80" s="149">
        <f>SUM(J79)</f>
        <v>0</v>
      </c>
      <c r="K80" s="16">
        <f>+H80-J80</f>
        <v>0</v>
      </c>
    </row>
    <row r="81" spans="2:11" ht="11.25" customHeight="1" thickTop="1" x14ac:dyDescent="0.25">
      <c r="B81" s="116"/>
      <c r="D81" s="250"/>
      <c r="E81" s="250"/>
      <c r="F81" s="250"/>
      <c r="G81" s="145"/>
      <c r="H81" s="119"/>
      <c r="I81" s="119"/>
      <c r="J81" s="119"/>
      <c r="K81" s="16"/>
    </row>
    <row r="82" spans="2:11" ht="11.25" customHeight="1" x14ac:dyDescent="0.25">
      <c r="B82" s="116"/>
      <c r="D82" s="250"/>
      <c r="E82" s="250"/>
      <c r="F82" s="250"/>
      <c r="G82" s="145"/>
      <c r="H82" s="119"/>
      <c r="I82" s="119"/>
      <c r="J82" s="119"/>
      <c r="K82" s="16"/>
    </row>
    <row r="83" spans="2:11" ht="12.75" customHeight="1" x14ac:dyDescent="0.25">
      <c r="B83" s="116">
        <v>14</v>
      </c>
      <c r="D83" s="109" t="s">
        <v>91</v>
      </c>
      <c r="E83" s="26"/>
      <c r="F83" s="26" t="s">
        <v>0</v>
      </c>
      <c r="G83" s="117"/>
      <c r="H83" s="118">
        <v>0</v>
      </c>
      <c r="I83" s="118"/>
      <c r="J83" s="118"/>
    </row>
    <row r="84" spans="2:11" ht="12.75" customHeight="1" x14ac:dyDescent="0.25">
      <c r="B84" s="116"/>
      <c r="D84" s="109" t="s">
        <v>17</v>
      </c>
      <c r="E84" s="26"/>
      <c r="F84" s="26"/>
      <c r="G84" s="117"/>
      <c r="H84" s="121"/>
      <c r="I84" s="121"/>
      <c r="J84" s="121"/>
    </row>
    <row r="85" spans="2:11" ht="12.75" customHeight="1" x14ac:dyDescent="0.25">
      <c r="B85" s="116"/>
      <c r="D85" s="145" t="s">
        <v>88</v>
      </c>
      <c r="E85" s="174"/>
      <c r="F85" s="174"/>
      <c r="G85" s="117"/>
      <c r="H85" s="118"/>
      <c r="I85" s="118"/>
      <c r="J85" s="118">
        <f>+H83</f>
        <v>0</v>
      </c>
    </row>
    <row r="86" spans="2:11" ht="18.75" customHeight="1" thickBot="1" x14ac:dyDescent="0.3">
      <c r="B86" s="116"/>
      <c r="D86" s="849"/>
      <c r="E86" s="849"/>
      <c r="F86" s="849"/>
      <c r="G86" s="145"/>
      <c r="H86" s="149">
        <f>SUM(H83:H85)</f>
        <v>0</v>
      </c>
      <c r="I86" s="119"/>
      <c r="J86" s="149">
        <f>SUM(J85)</f>
        <v>0</v>
      </c>
      <c r="K86" s="16">
        <f>+H86-J86</f>
        <v>0</v>
      </c>
    </row>
    <row r="87" spans="2:11" ht="12" customHeight="1" thickTop="1" x14ac:dyDescent="0.25">
      <c r="B87" s="116"/>
      <c r="D87" s="250"/>
      <c r="E87" s="250"/>
      <c r="F87" s="250"/>
      <c r="G87" s="145"/>
      <c r="H87" s="119"/>
      <c r="I87" s="119"/>
      <c r="J87" s="119"/>
      <c r="K87" s="16"/>
    </row>
    <row r="88" spans="2:11" ht="12" customHeight="1" x14ac:dyDescent="0.25">
      <c r="B88" s="116"/>
      <c r="D88" s="250"/>
      <c r="E88" s="250"/>
      <c r="F88" s="250"/>
      <c r="G88" s="145"/>
      <c r="H88" s="119"/>
      <c r="I88" s="119"/>
      <c r="J88" s="119"/>
      <c r="K88" s="16"/>
    </row>
    <row r="89" spans="2:11" ht="12.75" customHeight="1" x14ac:dyDescent="0.25">
      <c r="B89" s="116">
        <v>15</v>
      </c>
      <c r="D89" s="109" t="s">
        <v>91</v>
      </c>
      <c r="E89" s="26"/>
      <c r="F89" s="26" t="s">
        <v>0</v>
      </c>
      <c r="G89" s="117"/>
      <c r="H89" s="118">
        <v>0</v>
      </c>
      <c r="I89" s="118"/>
      <c r="J89" s="118"/>
    </row>
    <row r="90" spans="2:11" ht="12.75" customHeight="1" x14ac:dyDescent="0.25">
      <c r="B90" s="116"/>
      <c r="D90" s="109" t="s">
        <v>17</v>
      </c>
      <c r="E90" s="26"/>
      <c r="F90" s="26"/>
      <c r="G90" s="117"/>
      <c r="H90" s="121"/>
      <c r="I90" s="121"/>
      <c r="J90" s="121"/>
    </row>
    <row r="91" spans="2:11" ht="12.75" customHeight="1" x14ac:dyDescent="0.25">
      <c r="B91" s="116"/>
      <c r="D91" s="145" t="s">
        <v>88</v>
      </c>
      <c r="E91" s="174"/>
      <c r="F91" s="174"/>
      <c r="G91" s="117"/>
      <c r="H91" s="118"/>
      <c r="I91" s="118"/>
      <c r="J91" s="118">
        <f>+H89</f>
        <v>0</v>
      </c>
    </row>
    <row r="92" spans="2:11" ht="16.5" customHeight="1" thickBot="1" x14ac:dyDescent="0.3">
      <c r="B92" s="116"/>
      <c r="D92" s="845"/>
      <c r="E92" s="845"/>
      <c r="F92" s="845"/>
      <c r="G92" s="145"/>
      <c r="H92" s="149">
        <f>SUM(H89:H91)</f>
        <v>0</v>
      </c>
      <c r="I92" s="119"/>
      <c r="J92" s="149">
        <f>SUM(J91)</f>
        <v>0</v>
      </c>
      <c r="K92" s="16">
        <f>+H92-J92</f>
        <v>0</v>
      </c>
    </row>
    <row r="93" spans="2:11" ht="12" customHeight="1" thickTop="1" x14ac:dyDescent="0.25">
      <c r="B93" s="116"/>
      <c r="D93" s="109"/>
      <c r="E93" s="109"/>
      <c r="F93" s="109"/>
      <c r="G93" s="109"/>
      <c r="H93" s="119"/>
      <c r="I93" s="119"/>
      <c r="J93" s="119"/>
    </row>
    <row r="94" spans="2:11" ht="12" customHeight="1" x14ac:dyDescent="0.25">
      <c r="B94" s="116"/>
      <c r="D94" s="192"/>
      <c r="E94" s="192"/>
      <c r="F94" s="192"/>
      <c r="G94" s="117"/>
      <c r="H94" s="119"/>
      <c r="I94" s="119"/>
      <c r="J94" s="119"/>
    </row>
    <row r="95" spans="2:11" ht="12.75" customHeight="1" x14ac:dyDescent="0.25">
      <c r="B95" s="116">
        <v>16</v>
      </c>
      <c r="D95" s="109" t="s">
        <v>91</v>
      </c>
      <c r="E95" s="26"/>
      <c r="F95" s="26" t="s">
        <v>0</v>
      </c>
      <c r="G95" s="117"/>
      <c r="H95" s="118">
        <v>0</v>
      </c>
      <c r="I95" s="118"/>
      <c r="J95" s="118"/>
    </row>
    <row r="96" spans="2:11" ht="12.75" customHeight="1" x14ac:dyDescent="0.25">
      <c r="B96" s="116"/>
      <c r="D96" s="109" t="s">
        <v>17</v>
      </c>
      <c r="E96" s="26"/>
      <c r="F96" s="26"/>
      <c r="G96" s="117"/>
      <c r="H96" s="121"/>
      <c r="I96" s="121"/>
      <c r="J96" s="121"/>
    </row>
    <row r="97" spans="2:11" ht="12.75" customHeight="1" x14ac:dyDescent="0.25">
      <c r="B97" s="116"/>
      <c r="D97" s="145" t="s">
        <v>88</v>
      </c>
      <c r="E97" s="174"/>
      <c r="F97" s="174"/>
      <c r="G97" s="117"/>
      <c r="H97" s="118"/>
      <c r="I97" s="118"/>
      <c r="J97" s="118">
        <f>+H95</f>
        <v>0</v>
      </c>
    </row>
    <row r="98" spans="2:11" ht="20.25" customHeight="1" thickBot="1" x14ac:dyDescent="0.3">
      <c r="B98" s="116"/>
      <c r="D98" s="845"/>
      <c r="E98" s="845"/>
      <c r="F98" s="845"/>
      <c r="G98" s="117"/>
      <c r="H98" s="149">
        <f>SUM(H95:H97)</f>
        <v>0</v>
      </c>
      <c r="I98" s="119"/>
      <c r="J98" s="149">
        <f>SUM(J97)</f>
        <v>0</v>
      </c>
      <c r="K98" s="16">
        <f>+H98-J98</f>
        <v>0</v>
      </c>
    </row>
    <row r="99" spans="2:11" ht="12" customHeight="1" thickTop="1" x14ac:dyDescent="0.25">
      <c r="B99" s="116"/>
      <c r="D99" s="114"/>
      <c r="E99" s="114"/>
      <c r="F99" s="114"/>
      <c r="G99" s="117"/>
      <c r="H99" s="119"/>
      <c r="I99" s="119"/>
      <c r="J99" s="119"/>
    </row>
    <row r="100" spans="2:11" ht="12" customHeight="1" x14ac:dyDescent="0.25">
      <c r="B100" s="116"/>
      <c r="G100" s="117"/>
      <c r="H100" s="119"/>
      <c r="I100" s="119"/>
      <c r="J100" s="119"/>
    </row>
    <row r="101" spans="2:11" ht="12.75" customHeight="1" x14ac:dyDescent="0.25">
      <c r="B101" s="116">
        <v>17</v>
      </c>
      <c r="D101" s="109" t="s">
        <v>91</v>
      </c>
      <c r="E101" s="26"/>
      <c r="F101" s="26" t="s">
        <v>0</v>
      </c>
      <c r="G101" s="117"/>
      <c r="H101" s="118">
        <v>0</v>
      </c>
      <c r="I101" s="118"/>
      <c r="J101" s="118"/>
    </row>
    <row r="102" spans="2:11" ht="12.75" customHeight="1" x14ac:dyDescent="0.25">
      <c r="B102" s="116"/>
      <c r="D102" s="109" t="s">
        <v>17</v>
      </c>
      <c r="E102" s="26"/>
      <c r="F102" s="26"/>
      <c r="G102" s="117"/>
      <c r="H102" s="121"/>
      <c r="I102" s="121"/>
      <c r="J102" s="121"/>
    </row>
    <row r="103" spans="2:11" ht="12.75" customHeight="1" x14ac:dyDescent="0.25">
      <c r="B103" s="116"/>
      <c r="D103" s="145" t="s">
        <v>88</v>
      </c>
      <c r="E103" s="174"/>
      <c r="F103" s="174"/>
      <c r="G103" s="117"/>
      <c r="H103" s="118"/>
      <c r="I103" s="118"/>
      <c r="J103" s="118">
        <f>+H101</f>
        <v>0</v>
      </c>
    </row>
    <row r="104" spans="2:11" ht="18.75" customHeight="1" thickBot="1" x14ac:dyDescent="0.3">
      <c r="B104" s="116"/>
      <c r="D104" s="845"/>
      <c r="E104" s="845"/>
      <c r="F104" s="845"/>
      <c r="G104" s="117"/>
      <c r="H104" s="149">
        <f>SUM(H101:H103)</f>
        <v>0</v>
      </c>
      <c r="I104" s="119"/>
      <c r="J104" s="149">
        <f>SUM(J103)</f>
        <v>0</v>
      </c>
      <c r="K104" s="16">
        <f>+H104-J104</f>
        <v>0</v>
      </c>
    </row>
    <row r="105" spans="2:11" ht="11.25" customHeight="1" thickTop="1" x14ac:dyDescent="0.25">
      <c r="B105" s="116"/>
      <c r="D105" s="192"/>
      <c r="E105" s="192"/>
      <c r="F105" s="192"/>
      <c r="G105" s="117"/>
      <c r="H105" s="119"/>
      <c r="I105" s="119"/>
      <c r="J105" s="119"/>
    </row>
    <row r="106" spans="2:11" ht="15" customHeight="1" x14ac:dyDescent="0.25">
      <c r="B106" s="116"/>
      <c r="D106" s="114"/>
      <c r="E106" s="114"/>
      <c r="F106" s="114"/>
      <c r="G106" s="117"/>
      <c r="H106" s="119"/>
      <c r="I106" s="119"/>
      <c r="J106" s="119"/>
    </row>
    <row r="107" spans="2:11" ht="12.75" customHeight="1" x14ac:dyDescent="0.25">
      <c r="B107" s="116">
        <v>18</v>
      </c>
      <c r="D107" s="109" t="s">
        <v>91</v>
      </c>
      <c r="E107" s="26"/>
      <c r="F107" s="26" t="s">
        <v>0</v>
      </c>
      <c r="H107" s="118">
        <v>0</v>
      </c>
      <c r="I107" s="118"/>
      <c r="J107" s="118"/>
    </row>
    <row r="108" spans="2:11" ht="15.75" customHeight="1" x14ac:dyDescent="0.25">
      <c r="B108" s="116"/>
      <c r="D108" s="109" t="s">
        <v>17</v>
      </c>
      <c r="E108" s="26"/>
      <c r="F108" s="26"/>
      <c r="G108" s="117"/>
      <c r="H108" s="121"/>
      <c r="I108" s="121"/>
      <c r="J108" s="121"/>
    </row>
    <row r="109" spans="2:11" ht="15.75" customHeight="1" x14ac:dyDescent="0.25">
      <c r="B109" s="116"/>
      <c r="D109" s="145" t="s">
        <v>88</v>
      </c>
      <c r="E109" s="174"/>
      <c r="F109" s="174"/>
      <c r="G109" s="117"/>
      <c r="H109" s="118"/>
      <c r="I109" s="118"/>
      <c r="J109" s="118">
        <f>+H107</f>
        <v>0</v>
      </c>
    </row>
    <row r="110" spans="2:11" ht="18" customHeight="1" thickBot="1" x14ac:dyDescent="0.3">
      <c r="B110" s="116"/>
      <c r="D110" s="845"/>
      <c r="E110" s="845"/>
      <c r="F110" s="845"/>
      <c r="G110" s="117"/>
      <c r="H110" s="149">
        <f>SUM(H107:H109)</f>
        <v>0</v>
      </c>
      <c r="I110" s="119"/>
      <c r="J110" s="149">
        <f>SUM(J109)</f>
        <v>0</v>
      </c>
      <c r="K110" s="16">
        <f>+H110-J110</f>
        <v>0</v>
      </c>
    </row>
    <row r="111" spans="2:11" ht="12" customHeight="1" thickTop="1" x14ac:dyDescent="0.25">
      <c r="B111" s="116"/>
      <c r="D111" s="114"/>
      <c r="E111" s="114"/>
      <c r="F111" s="114"/>
      <c r="G111" s="117"/>
      <c r="H111" s="119"/>
      <c r="I111" s="119"/>
      <c r="J111" s="119"/>
    </row>
    <row r="112" spans="2:11" ht="12" customHeight="1" x14ac:dyDescent="0.25">
      <c r="B112" s="116"/>
      <c r="D112" s="145"/>
      <c r="E112" s="114"/>
      <c r="F112" s="114"/>
      <c r="G112" s="117"/>
      <c r="H112" s="119"/>
      <c r="I112" s="119"/>
      <c r="J112" s="119"/>
    </row>
    <row r="113" spans="2:14" ht="12.75" customHeight="1" x14ac:dyDescent="0.25">
      <c r="B113" s="116">
        <v>19</v>
      </c>
      <c r="D113" s="109" t="s">
        <v>91</v>
      </c>
      <c r="E113" s="26"/>
      <c r="F113" s="26" t="s">
        <v>0</v>
      </c>
      <c r="G113" s="117"/>
      <c r="H113" s="118">
        <v>0</v>
      </c>
      <c r="I113" s="118"/>
      <c r="J113" s="118"/>
    </row>
    <row r="114" spans="2:14" ht="12.75" customHeight="1" x14ac:dyDescent="0.25">
      <c r="B114" s="116"/>
      <c r="D114" s="109" t="s">
        <v>17</v>
      </c>
      <c r="E114" s="26"/>
      <c r="F114" s="26"/>
      <c r="G114" s="117"/>
      <c r="H114" s="121"/>
      <c r="I114" s="121"/>
      <c r="J114" s="121"/>
    </row>
    <row r="115" spans="2:14" ht="12.75" customHeight="1" x14ac:dyDescent="0.25">
      <c r="B115" s="116"/>
      <c r="D115" s="145" t="s">
        <v>88</v>
      </c>
      <c r="E115" s="174"/>
      <c r="F115" s="174"/>
      <c r="G115" s="117"/>
      <c r="H115" s="118"/>
      <c r="I115" s="118"/>
      <c r="J115" s="118">
        <f>+H113</f>
        <v>0</v>
      </c>
    </row>
    <row r="116" spans="2:14" ht="16.5" customHeight="1" thickBot="1" x14ac:dyDescent="0.3">
      <c r="B116" s="116"/>
      <c r="D116" s="845"/>
      <c r="E116" s="845"/>
      <c r="F116" s="845"/>
      <c r="G116" s="117"/>
      <c r="H116" s="149">
        <f>SUM(H113:H115)</f>
        <v>0</v>
      </c>
      <c r="I116" s="119"/>
      <c r="J116" s="149">
        <f>SUM(J115)</f>
        <v>0</v>
      </c>
      <c r="K116" s="16">
        <f>+H116-J116</f>
        <v>0</v>
      </c>
    </row>
    <row r="117" spans="2:14" ht="16.5" customHeight="1" thickTop="1" x14ac:dyDescent="0.25">
      <c r="B117" s="116"/>
      <c r="D117" s="335"/>
      <c r="E117" s="335"/>
      <c r="F117" s="335"/>
      <c r="G117" s="117"/>
      <c r="H117" s="119"/>
      <c r="I117" s="119"/>
      <c r="J117" s="119"/>
      <c r="K117" s="16"/>
      <c r="N117" s="2"/>
    </row>
    <row r="118" spans="2:14" ht="12" customHeight="1" x14ac:dyDescent="0.25">
      <c r="B118" s="116"/>
      <c r="D118" s="250"/>
      <c r="E118" s="250"/>
      <c r="F118" s="250"/>
      <c r="G118" s="117"/>
      <c r="H118" s="119"/>
      <c r="I118" s="119"/>
      <c r="J118" s="119"/>
    </row>
    <row r="119" spans="2:14" ht="12.75" customHeight="1" x14ac:dyDescent="0.25">
      <c r="B119" s="116">
        <v>20</v>
      </c>
      <c r="D119" s="109" t="s">
        <v>698</v>
      </c>
      <c r="E119" s="26"/>
      <c r="F119" s="26" t="s">
        <v>0</v>
      </c>
      <c r="G119" s="117"/>
      <c r="H119" s="118">
        <v>0</v>
      </c>
      <c r="I119" s="118"/>
      <c r="J119" s="118"/>
    </row>
    <row r="120" spans="2:14" ht="12.75" customHeight="1" x14ac:dyDescent="0.25">
      <c r="B120" s="116"/>
      <c r="D120" s="109" t="s">
        <v>17</v>
      </c>
      <c r="E120" s="26"/>
      <c r="F120" s="26"/>
      <c r="G120" s="117"/>
      <c r="H120" s="121"/>
      <c r="I120" s="121"/>
      <c r="J120" s="121"/>
    </row>
    <row r="121" spans="2:14" ht="12.75" customHeight="1" x14ac:dyDescent="0.25">
      <c r="B121" s="116"/>
      <c r="D121" s="145" t="s">
        <v>75</v>
      </c>
      <c r="E121" s="174"/>
      <c r="F121" s="174"/>
      <c r="G121" s="117"/>
      <c r="H121" s="118"/>
      <c r="I121" s="118"/>
      <c r="J121" s="118">
        <f>+H119</f>
        <v>0</v>
      </c>
    </row>
    <row r="122" spans="2:14" ht="16.5" customHeight="1" thickBot="1" x14ac:dyDescent="0.3">
      <c r="B122" s="116"/>
      <c r="D122" s="845"/>
      <c r="E122" s="845"/>
      <c r="F122" s="845"/>
      <c r="G122" s="117"/>
      <c r="H122" s="149">
        <f>SUM(H119:H121)</f>
        <v>0</v>
      </c>
      <c r="I122" s="119"/>
      <c r="J122" s="149">
        <f>SUM(J121)</f>
        <v>0</v>
      </c>
      <c r="K122" s="16">
        <f>+H122-J122</f>
        <v>0</v>
      </c>
    </row>
    <row r="123" spans="2:14" ht="12" customHeight="1" thickTop="1" x14ac:dyDescent="0.25">
      <c r="B123" s="116"/>
      <c r="D123" s="114"/>
      <c r="E123" s="114"/>
      <c r="F123" s="114"/>
      <c r="G123" s="117"/>
      <c r="H123" s="119"/>
      <c r="I123" s="119"/>
      <c r="J123" s="119"/>
    </row>
    <row r="124" spans="2:14" ht="12" customHeight="1" x14ac:dyDescent="0.25">
      <c r="B124" s="116"/>
      <c r="D124" s="114"/>
      <c r="E124" s="114"/>
      <c r="F124" s="114"/>
      <c r="G124" s="117"/>
      <c r="H124" s="119"/>
      <c r="I124" s="119"/>
      <c r="J124" s="119"/>
    </row>
    <row r="125" spans="2:14" ht="12.75" customHeight="1" x14ac:dyDescent="0.25">
      <c r="B125" s="116">
        <v>21</v>
      </c>
      <c r="C125" s="317">
        <v>2.2000000000000002</v>
      </c>
      <c r="D125" s="109"/>
      <c r="E125" s="26"/>
      <c r="F125" s="41">
        <f>SUM(H127:H143)</f>
        <v>11095.42</v>
      </c>
      <c r="G125" s="117"/>
      <c r="H125" s="121"/>
      <c r="I125" s="121"/>
      <c r="J125" s="121"/>
      <c r="L125" s="191"/>
    </row>
    <row r="126" spans="2:14" ht="12.75" customHeight="1" x14ac:dyDescent="0.25">
      <c r="B126" s="116"/>
      <c r="C126" s="318" t="s">
        <v>186</v>
      </c>
      <c r="D126" s="109" t="s">
        <v>189</v>
      </c>
      <c r="E126" s="26"/>
      <c r="F126" s="41"/>
      <c r="G126" s="117"/>
      <c r="H126" s="118">
        <v>0</v>
      </c>
      <c r="I126" s="121"/>
      <c r="J126" s="121"/>
      <c r="L126" s="371"/>
    </row>
    <row r="127" spans="2:14" ht="12.75" customHeight="1" x14ac:dyDescent="0.25">
      <c r="B127" s="116"/>
      <c r="C127" s="318" t="s">
        <v>85</v>
      </c>
      <c r="D127" s="109" t="s">
        <v>100</v>
      </c>
      <c r="E127" s="26"/>
      <c r="F127" s="42"/>
      <c r="G127" s="117"/>
      <c r="H127" s="118">
        <v>0</v>
      </c>
      <c r="I127" s="121"/>
      <c r="J127" s="26"/>
      <c r="K127" s="372"/>
      <c r="L127" s="371"/>
    </row>
    <row r="128" spans="2:14" ht="12.75" customHeight="1" x14ac:dyDescent="0.25">
      <c r="B128" s="116"/>
      <c r="C128" s="318" t="s">
        <v>119</v>
      </c>
      <c r="D128" s="109" t="s">
        <v>117</v>
      </c>
      <c r="E128" s="26"/>
      <c r="F128" s="42"/>
      <c r="G128" s="117"/>
      <c r="H128" s="118">
        <v>0</v>
      </c>
      <c r="I128" s="121"/>
      <c r="J128" s="26"/>
      <c r="K128" s="373"/>
      <c r="L128" s="371"/>
    </row>
    <row r="129" spans="2:15" ht="12.75" customHeight="1" x14ac:dyDescent="0.25">
      <c r="B129" s="116"/>
      <c r="C129" s="318" t="s">
        <v>203</v>
      </c>
      <c r="D129" s="109" t="s">
        <v>145</v>
      </c>
      <c r="E129" s="26"/>
      <c r="F129" s="42"/>
      <c r="G129" s="117"/>
      <c r="H129" s="118">
        <v>539.91</v>
      </c>
      <c r="I129" s="121"/>
      <c r="J129" s="26"/>
      <c r="K129" s="374"/>
      <c r="L129" s="371"/>
    </row>
    <row r="130" spans="2:15" ht="12.75" customHeight="1" x14ac:dyDescent="0.25">
      <c r="B130" s="116"/>
      <c r="C130" s="318" t="s">
        <v>20</v>
      </c>
      <c r="D130" s="109" t="s">
        <v>101</v>
      </c>
      <c r="E130" s="26"/>
      <c r="F130" s="42"/>
      <c r="G130" s="117"/>
      <c r="H130" s="118">
        <v>0</v>
      </c>
      <c r="I130" s="121"/>
      <c r="J130" s="121"/>
      <c r="K130" s="375"/>
      <c r="L130" s="371"/>
    </row>
    <row r="131" spans="2:15" ht="12.75" customHeight="1" x14ac:dyDescent="0.25">
      <c r="B131" s="116"/>
      <c r="C131" s="318" t="s">
        <v>287</v>
      </c>
      <c r="D131" s="109" t="s">
        <v>237</v>
      </c>
      <c r="E131" s="26"/>
      <c r="F131" s="42"/>
      <c r="G131" s="117"/>
      <c r="H131" s="118">
        <v>1798</v>
      </c>
      <c r="I131" s="121"/>
      <c r="J131" s="121"/>
      <c r="K131" s="374"/>
      <c r="L131" s="371"/>
    </row>
    <row r="132" spans="2:15" ht="12" customHeight="1" x14ac:dyDescent="0.25">
      <c r="B132" s="116"/>
      <c r="C132" s="318" t="s">
        <v>266</v>
      </c>
      <c r="D132" s="20" t="s">
        <v>226</v>
      </c>
      <c r="E132" s="26"/>
      <c r="F132" s="42"/>
      <c r="G132" s="117"/>
      <c r="H132" s="118">
        <v>0</v>
      </c>
      <c r="I132" s="121"/>
      <c r="J132" s="121"/>
      <c r="L132" s="191"/>
    </row>
    <row r="133" spans="2:15" ht="12" customHeight="1" x14ac:dyDescent="0.25">
      <c r="B133" s="116"/>
      <c r="C133" s="318" t="s">
        <v>616</v>
      </c>
      <c r="D133" s="20" t="s">
        <v>650</v>
      </c>
      <c r="E133" s="26"/>
      <c r="F133" s="42"/>
      <c r="G133" s="117"/>
      <c r="H133" s="118">
        <v>0</v>
      </c>
      <c r="I133" s="121"/>
      <c r="J133" s="121"/>
      <c r="L133" s="191"/>
    </row>
    <row r="134" spans="2:15" ht="12" customHeight="1" x14ac:dyDescent="0.25">
      <c r="B134" s="116"/>
      <c r="C134" s="318" t="s">
        <v>260</v>
      </c>
      <c r="D134" s="20" t="s">
        <v>332</v>
      </c>
      <c r="E134" s="26"/>
      <c r="F134" s="42"/>
      <c r="G134" s="117"/>
      <c r="H134" s="118">
        <v>0</v>
      </c>
      <c r="I134" s="121"/>
      <c r="J134" s="121"/>
      <c r="L134" s="191"/>
      <c r="O134">
        <v>1100</v>
      </c>
    </row>
    <row r="135" spans="2:15" ht="13.5" customHeight="1" x14ac:dyDescent="0.25">
      <c r="B135" s="116"/>
      <c r="C135" s="318" t="s">
        <v>32</v>
      </c>
      <c r="D135" s="109" t="s">
        <v>102</v>
      </c>
      <c r="E135" s="26"/>
      <c r="F135" s="42"/>
      <c r="G135" s="117"/>
      <c r="H135" s="118">
        <f>550+600</f>
        <v>1150</v>
      </c>
      <c r="I135" s="121"/>
      <c r="J135" s="121"/>
      <c r="K135" s="16"/>
      <c r="L135" s="191"/>
      <c r="O135">
        <v>707.4</v>
      </c>
    </row>
    <row r="136" spans="2:15" ht="13.5" customHeight="1" x14ac:dyDescent="0.25">
      <c r="B136" s="116"/>
      <c r="C136" s="318" t="s">
        <v>164</v>
      </c>
      <c r="D136" s="109" t="s">
        <v>165</v>
      </c>
      <c r="E136" s="26"/>
      <c r="F136" s="42"/>
      <c r="G136" s="117"/>
      <c r="H136" s="118">
        <v>0</v>
      </c>
      <c r="I136" s="121"/>
      <c r="J136" s="121"/>
      <c r="L136" s="191"/>
      <c r="O136">
        <v>1807.4</v>
      </c>
    </row>
    <row r="137" spans="2:15" ht="12.75" customHeight="1" x14ac:dyDescent="0.25">
      <c r="B137" s="116"/>
      <c r="C137" s="318" t="s">
        <v>64</v>
      </c>
      <c r="D137" s="109" t="s">
        <v>68</v>
      </c>
      <c r="E137" s="26"/>
      <c r="F137" s="42"/>
      <c r="G137" s="117"/>
      <c r="H137" s="118">
        <v>207.73</v>
      </c>
      <c r="I137" s="118"/>
      <c r="J137" s="121"/>
      <c r="L137" s="191"/>
    </row>
    <row r="138" spans="2:15" ht="12.75" customHeight="1" x14ac:dyDescent="0.25">
      <c r="B138" s="116"/>
      <c r="C138" s="318" t="s">
        <v>530</v>
      </c>
      <c r="D138" s="109" t="s">
        <v>394</v>
      </c>
      <c r="E138" s="26"/>
      <c r="F138" s="42"/>
      <c r="G138" s="117"/>
      <c r="H138" s="118">
        <v>7399.78</v>
      </c>
      <c r="I138" s="118"/>
      <c r="J138" s="121"/>
      <c r="L138" s="190"/>
    </row>
    <row r="139" spans="2:15" ht="12.75" customHeight="1" x14ac:dyDescent="0.25">
      <c r="B139" s="116"/>
      <c r="C139" s="318" t="s">
        <v>295</v>
      </c>
      <c r="D139" s="109" t="s">
        <v>391</v>
      </c>
      <c r="E139" s="26"/>
      <c r="F139" s="42"/>
      <c r="G139" s="117"/>
      <c r="H139" s="118">
        <v>0</v>
      </c>
      <c r="I139" s="118"/>
      <c r="J139" s="121"/>
    </row>
    <row r="140" spans="2:15" ht="12.75" customHeight="1" x14ac:dyDescent="0.25">
      <c r="B140" s="116"/>
      <c r="C140" s="318" t="s">
        <v>187</v>
      </c>
      <c r="D140" s="109" t="s">
        <v>693</v>
      </c>
      <c r="E140" s="26"/>
      <c r="F140" s="42"/>
      <c r="G140" s="117"/>
      <c r="H140" s="118">
        <v>0</v>
      </c>
      <c r="I140" s="118"/>
      <c r="J140" s="121"/>
    </row>
    <row r="141" spans="2:15" ht="12.75" customHeight="1" x14ac:dyDescent="0.25">
      <c r="B141" s="116"/>
      <c r="C141" s="318" t="s">
        <v>259</v>
      </c>
      <c r="D141" s="109" t="s">
        <v>551</v>
      </c>
      <c r="E141" s="26"/>
      <c r="F141" s="42"/>
      <c r="G141" s="117"/>
      <c r="H141" s="118">
        <v>0</v>
      </c>
      <c r="I141" s="118"/>
      <c r="J141" s="121"/>
    </row>
    <row r="142" spans="2:15" ht="12.75" customHeight="1" x14ac:dyDescent="0.25">
      <c r="B142" s="116"/>
      <c r="C142" s="318" t="s">
        <v>210</v>
      </c>
      <c r="D142" s="109" t="s">
        <v>211</v>
      </c>
      <c r="E142" s="26"/>
      <c r="F142" s="42"/>
      <c r="G142" s="117"/>
      <c r="H142" s="118">
        <v>0</v>
      </c>
      <c r="I142" s="118"/>
      <c r="J142" s="121"/>
    </row>
    <row r="143" spans="2:15" ht="12.75" customHeight="1" x14ac:dyDescent="0.25">
      <c r="B143" s="116"/>
      <c r="C143" s="318" t="s">
        <v>21</v>
      </c>
      <c r="D143" s="109" t="s">
        <v>25</v>
      </c>
      <c r="E143" s="26"/>
      <c r="F143" s="42"/>
      <c r="G143" s="117"/>
      <c r="H143" s="118">
        <v>0</v>
      </c>
      <c r="I143" s="118"/>
      <c r="J143" s="121"/>
    </row>
    <row r="144" spans="2:15" ht="12.75" customHeight="1" x14ac:dyDescent="0.25">
      <c r="B144" s="116"/>
      <c r="C144" s="317">
        <v>2.2999999999999998</v>
      </c>
      <c r="D144" s="109"/>
      <c r="E144" s="26"/>
      <c r="F144" s="41">
        <f>SUM(H145:H159)</f>
        <v>10034.77</v>
      </c>
      <c r="G144" s="117"/>
      <c r="H144" s="118"/>
      <c r="I144" s="118"/>
      <c r="J144" s="121"/>
    </row>
    <row r="145" spans="2:11" ht="12.75" customHeight="1" x14ac:dyDescent="0.25">
      <c r="B145" s="116"/>
      <c r="C145" s="318" t="s">
        <v>66</v>
      </c>
      <c r="D145" s="109" t="s">
        <v>25</v>
      </c>
      <c r="E145" s="26"/>
      <c r="F145" s="26"/>
      <c r="G145" s="117"/>
      <c r="H145" s="118">
        <f>3444.77+4820</f>
        <v>8264.77</v>
      </c>
      <c r="I145" s="118"/>
      <c r="J145" s="121"/>
    </row>
    <row r="146" spans="2:11" ht="12.75" hidden="1" customHeight="1" x14ac:dyDescent="0.25">
      <c r="B146" s="116"/>
      <c r="C146" s="318" t="s">
        <v>524</v>
      </c>
      <c r="D146" s="109" t="s">
        <v>525</v>
      </c>
      <c r="E146" s="26"/>
      <c r="F146" s="26"/>
      <c r="G146" s="117"/>
      <c r="H146" s="118">
        <v>0</v>
      </c>
      <c r="I146" s="118"/>
      <c r="J146" s="121"/>
    </row>
    <row r="147" spans="2:11" ht="12.75" hidden="1" customHeight="1" x14ac:dyDescent="0.25">
      <c r="B147" s="116"/>
      <c r="C147" s="318" t="s">
        <v>118</v>
      </c>
      <c r="D147" s="109" t="s">
        <v>121</v>
      </c>
      <c r="E147" s="26"/>
      <c r="F147" s="26"/>
      <c r="G147" s="117"/>
      <c r="H147" s="118">
        <v>0</v>
      </c>
      <c r="I147" s="118"/>
      <c r="J147" s="121"/>
      <c r="K147" s="281"/>
    </row>
    <row r="148" spans="2:11" ht="12.75" customHeight="1" x14ac:dyDescent="0.25">
      <c r="B148" s="116"/>
      <c r="C148" s="318" t="s">
        <v>524</v>
      </c>
      <c r="D148" s="109" t="s">
        <v>527</v>
      </c>
      <c r="E148" s="26"/>
      <c r="F148" s="26"/>
      <c r="G148" s="117"/>
      <c r="H148" s="118">
        <v>0</v>
      </c>
      <c r="I148" s="118"/>
      <c r="J148" s="121"/>
      <c r="K148" s="281"/>
    </row>
    <row r="149" spans="2:11" ht="12.75" customHeight="1" x14ac:dyDescent="0.25">
      <c r="B149" s="116"/>
      <c r="C149" s="318" t="s">
        <v>532</v>
      </c>
      <c r="D149" s="109" t="s">
        <v>592</v>
      </c>
      <c r="E149" s="26"/>
      <c r="F149" s="26"/>
      <c r="G149" s="117"/>
      <c r="H149" s="118">
        <v>0</v>
      </c>
      <c r="I149" s="118"/>
      <c r="J149" s="121"/>
      <c r="K149" s="281"/>
    </row>
    <row r="150" spans="2:11" ht="12.75" customHeight="1" x14ac:dyDescent="0.25">
      <c r="B150" s="116"/>
      <c r="C150" s="319" t="s">
        <v>542</v>
      </c>
      <c r="D150" s="109" t="s">
        <v>543</v>
      </c>
      <c r="E150" s="26"/>
      <c r="F150" s="26"/>
      <c r="G150" s="117"/>
      <c r="H150" s="118">
        <v>0</v>
      </c>
      <c r="I150" s="118"/>
      <c r="J150" s="121"/>
      <c r="K150" s="281"/>
    </row>
    <row r="151" spans="2:11" ht="12.75" customHeight="1" x14ac:dyDescent="0.25">
      <c r="B151" s="116"/>
      <c r="C151" s="319" t="s">
        <v>228</v>
      </c>
      <c r="D151" s="109" t="s">
        <v>638</v>
      </c>
      <c r="E151" s="26"/>
      <c r="F151" s="26"/>
      <c r="G151" s="117"/>
      <c r="H151" s="118">
        <v>0</v>
      </c>
      <c r="I151" s="118"/>
      <c r="J151" s="121"/>
      <c r="K151" s="281"/>
    </row>
    <row r="152" spans="2:11" ht="12.75" customHeight="1" x14ac:dyDescent="0.25">
      <c r="B152" s="116"/>
      <c r="C152" s="319" t="s">
        <v>668</v>
      </c>
      <c r="D152" s="109" t="s">
        <v>669</v>
      </c>
      <c r="E152" s="26"/>
      <c r="F152" s="26"/>
      <c r="G152" s="117"/>
      <c r="H152" s="118">
        <v>0</v>
      </c>
      <c r="I152" s="118"/>
      <c r="J152" s="121"/>
      <c r="K152" s="281"/>
    </row>
    <row r="153" spans="2:11" ht="12.75" customHeight="1" x14ac:dyDescent="0.25">
      <c r="B153" s="116"/>
      <c r="C153" s="318" t="s">
        <v>67</v>
      </c>
      <c r="D153" s="109" t="s">
        <v>122</v>
      </c>
      <c r="E153" s="26"/>
      <c r="F153" s="26"/>
      <c r="G153" s="117"/>
      <c r="H153" s="118">
        <v>0</v>
      </c>
      <c r="I153" s="118"/>
      <c r="J153" s="121"/>
    </row>
    <row r="154" spans="2:11" ht="12.75" customHeight="1" x14ac:dyDescent="0.25">
      <c r="B154" s="116"/>
      <c r="C154" s="318" t="s">
        <v>69</v>
      </c>
      <c r="D154" s="109" t="s">
        <v>103</v>
      </c>
      <c r="E154" s="26"/>
      <c r="F154" s="26"/>
      <c r="G154" s="117"/>
      <c r="H154" s="118">
        <v>1770</v>
      </c>
      <c r="I154" s="118"/>
      <c r="J154" s="121"/>
      <c r="K154" s="281"/>
    </row>
    <row r="155" spans="2:11" ht="12.75" customHeight="1" x14ac:dyDescent="0.25">
      <c r="B155" s="116"/>
      <c r="C155" s="318" t="s">
        <v>70</v>
      </c>
      <c r="D155" s="109" t="s">
        <v>104</v>
      </c>
      <c r="E155" s="26"/>
      <c r="F155" s="26"/>
      <c r="G155" s="117"/>
      <c r="H155" s="118">
        <v>0</v>
      </c>
      <c r="I155" s="118"/>
      <c r="J155" s="121"/>
      <c r="K155" s="281"/>
    </row>
    <row r="156" spans="2:11" ht="12.75" customHeight="1" x14ac:dyDescent="0.25">
      <c r="B156" s="116"/>
      <c r="C156" s="318" t="s">
        <v>97</v>
      </c>
      <c r="D156" s="109" t="s">
        <v>125</v>
      </c>
      <c r="E156" s="26"/>
      <c r="F156" s="26"/>
      <c r="G156" s="117"/>
      <c r="H156" s="118">
        <v>0</v>
      </c>
      <c r="I156" s="118"/>
      <c r="J156" s="121"/>
      <c r="K156" s="281"/>
    </row>
    <row r="157" spans="2:11" ht="12.75" customHeight="1" x14ac:dyDescent="0.25">
      <c r="B157" s="116"/>
      <c r="C157" s="318" t="s">
        <v>95</v>
      </c>
      <c r="D157" s="109" t="s">
        <v>106</v>
      </c>
      <c r="E157" s="26"/>
      <c r="F157" s="26"/>
      <c r="G157" s="117"/>
      <c r="H157" s="118">
        <v>0</v>
      </c>
      <c r="I157" s="118"/>
      <c r="J157" s="121"/>
      <c r="K157" s="376"/>
    </row>
    <row r="158" spans="2:11" ht="12.75" customHeight="1" x14ac:dyDescent="0.25">
      <c r="B158" s="116"/>
      <c r="C158" s="318" t="s">
        <v>71</v>
      </c>
      <c r="D158" s="109" t="s">
        <v>105</v>
      </c>
      <c r="E158" s="26"/>
      <c r="F158" s="26"/>
      <c r="G158" s="117"/>
      <c r="H158" s="118">
        <v>0</v>
      </c>
      <c r="I158" s="118"/>
      <c r="J158" s="121"/>
    </row>
    <row r="159" spans="2:11" ht="12.75" hidden="1" customHeight="1" x14ac:dyDescent="0.25">
      <c r="B159" s="116"/>
      <c r="C159" s="318" t="s">
        <v>248</v>
      </c>
      <c r="D159" s="109" t="s">
        <v>337</v>
      </c>
      <c r="E159" s="26"/>
      <c r="F159" s="26"/>
      <c r="G159" s="117"/>
      <c r="H159" s="118">
        <v>0</v>
      </c>
      <c r="I159" s="118"/>
      <c r="J159" s="121"/>
    </row>
    <row r="160" spans="2:11" ht="12.75" hidden="1" customHeight="1" x14ac:dyDescent="0.25">
      <c r="B160" s="116"/>
      <c r="C160" s="318" t="s">
        <v>396</v>
      </c>
      <c r="D160" s="109" t="s">
        <v>504</v>
      </c>
      <c r="E160" s="26"/>
      <c r="F160" s="26"/>
      <c r="G160" s="117"/>
      <c r="H160" s="118">
        <v>0</v>
      </c>
      <c r="I160" s="118"/>
      <c r="J160" s="121"/>
    </row>
    <row r="161" spans="2:13" ht="12.75" hidden="1" customHeight="1" x14ac:dyDescent="0.25">
      <c r="B161" s="116"/>
      <c r="C161" s="318" t="s">
        <v>503</v>
      </c>
      <c r="D161" s="109" t="s">
        <v>502</v>
      </c>
      <c r="E161" s="26"/>
      <c r="F161" s="26"/>
      <c r="G161" s="117"/>
      <c r="H161" s="118">
        <v>0</v>
      </c>
      <c r="I161" s="118"/>
      <c r="J161" s="121"/>
    </row>
    <row r="162" spans="2:13" ht="12.75" customHeight="1" x14ac:dyDescent="0.25">
      <c r="B162" s="116"/>
      <c r="C162" s="318" t="s">
        <v>536</v>
      </c>
      <c r="D162" s="109" t="s">
        <v>537</v>
      </c>
      <c r="E162" s="26"/>
      <c r="F162" s="26"/>
      <c r="G162" s="117"/>
      <c r="H162" s="118">
        <v>0</v>
      </c>
      <c r="I162" s="118"/>
      <c r="J162" s="121"/>
    </row>
    <row r="163" spans="2:13" ht="12.75" customHeight="1" x14ac:dyDescent="0.25">
      <c r="B163" s="116"/>
      <c r="C163" s="318" t="s">
        <v>248</v>
      </c>
      <c r="D163" s="109" t="s">
        <v>337</v>
      </c>
      <c r="E163" s="26"/>
      <c r="F163" s="26"/>
      <c r="G163" s="117"/>
      <c r="H163" s="118">
        <v>0</v>
      </c>
      <c r="I163" s="118"/>
      <c r="J163" s="121"/>
      <c r="K163" s="377"/>
    </row>
    <row r="164" spans="2:13" ht="12.75" customHeight="1" x14ac:dyDescent="0.25">
      <c r="B164" s="116"/>
      <c r="C164" s="318" t="s">
        <v>503</v>
      </c>
      <c r="D164" s="109" t="s">
        <v>502</v>
      </c>
      <c r="E164" s="26"/>
      <c r="F164" s="26"/>
      <c r="G164" s="117"/>
      <c r="H164" s="118">
        <v>0</v>
      </c>
      <c r="I164" s="118"/>
      <c r="J164" s="121"/>
      <c r="K164" s="281"/>
      <c r="L164" s="190"/>
    </row>
    <row r="165" spans="2:13" ht="12.75" customHeight="1" x14ac:dyDescent="0.25">
      <c r="B165" s="116"/>
      <c r="C165" s="318" t="s">
        <v>254</v>
      </c>
      <c r="D165" s="109" t="s">
        <v>255</v>
      </c>
      <c r="E165" s="26"/>
      <c r="F165" s="26"/>
      <c r="G165" s="117"/>
      <c r="H165" s="118">
        <v>0</v>
      </c>
      <c r="I165" s="118"/>
      <c r="J165" s="121"/>
      <c r="K165" s="376"/>
    </row>
    <row r="166" spans="2:13" ht="12.75" customHeight="1" x14ac:dyDescent="0.25">
      <c r="B166" s="116"/>
      <c r="C166" s="318"/>
      <c r="D166" s="109" t="s">
        <v>2</v>
      </c>
      <c r="E166" s="26"/>
      <c r="F166" s="41">
        <f>SUM(H166:H168)</f>
        <v>21817.4</v>
      </c>
      <c r="G166" s="117"/>
      <c r="H166" s="118"/>
      <c r="I166" s="118"/>
      <c r="J166"/>
    </row>
    <row r="167" spans="2:13" ht="12.75" customHeight="1" x14ac:dyDescent="0.25">
      <c r="B167" s="116"/>
      <c r="C167" s="318"/>
      <c r="D167" s="109" t="s">
        <v>2</v>
      </c>
      <c r="E167" s="26"/>
      <c r="F167" s="26"/>
      <c r="G167" s="117"/>
      <c r="H167" s="118">
        <f>14405.02+7412.38</f>
        <v>21817.4</v>
      </c>
      <c r="I167" s="118"/>
      <c r="J167" s="121"/>
      <c r="K167" s="281"/>
      <c r="L167" s="378"/>
      <c r="M167" s="3"/>
    </row>
    <row r="168" spans="2:13" ht="12.75" customHeight="1" x14ac:dyDescent="0.25">
      <c r="B168" s="116"/>
      <c r="C168" s="318"/>
      <c r="D168" s="109" t="s">
        <v>256</v>
      </c>
      <c r="E168" s="26"/>
      <c r="F168" s="26"/>
      <c r="G168" s="117"/>
      <c r="H168" s="118">
        <v>0</v>
      </c>
      <c r="I168" s="118"/>
      <c r="J168" s="121"/>
    </row>
    <row r="169" spans="2:13" ht="12.75" customHeight="1" x14ac:dyDescent="0.25">
      <c r="B169" s="116"/>
      <c r="D169" s="109" t="s">
        <v>17</v>
      </c>
      <c r="E169" s="26"/>
      <c r="F169" s="26"/>
      <c r="G169" s="117"/>
      <c r="H169" s="118"/>
      <c r="I169" s="118"/>
      <c r="J169" s="121"/>
      <c r="K169" s="281"/>
      <c r="L169" s="378"/>
      <c r="M169" s="2"/>
    </row>
    <row r="170" spans="2:13" ht="12.75" customHeight="1" x14ac:dyDescent="0.25">
      <c r="B170" s="116"/>
      <c r="D170" s="109" t="s">
        <v>244</v>
      </c>
      <c r="E170" s="26"/>
      <c r="F170" s="26"/>
      <c r="G170" s="117"/>
      <c r="H170" s="118">
        <v>0</v>
      </c>
      <c r="I170" s="118"/>
      <c r="J170" s="121">
        <v>0</v>
      </c>
      <c r="K170" s="376"/>
    </row>
    <row r="171" spans="2:13" ht="12.75" customHeight="1" x14ac:dyDescent="0.25">
      <c r="B171" s="116"/>
      <c r="D171" s="109" t="s">
        <v>2</v>
      </c>
      <c r="E171" s="26"/>
      <c r="F171" s="26"/>
      <c r="G171" s="117"/>
      <c r="H171" s="118">
        <v>0</v>
      </c>
      <c r="I171" s="118"/>
      <c r="J171" s="118">
        <f>3994.77+16927.69</f>
        <v>20922.46</v>
      </c>
    </row>
    <row r="172" spans="2:13" ht="12.75" customHeight="1" x14ac:dyDescent="0.25">
      <c r="B172" s="116"/>
      <c r="D172" s="109" t="s">
        <v>19</v>
      </c>
      <c r="E172" s="26"/>
      <c r="F172" s="26"/>
      <c r="G172" s="117"/>
      <c r="H172" s="118">
        <v>0</v>
      </c>
      <c r="I172" s="118"/>
      <c r="J172" s="121">
        <f>14405.02+7412.38+207.73</f>
        <v>22025.13</v>
      </c>
      <c r="K172" s="16"/>
    </row>
    <row r="173" spans="2:13" ht="29.25" customHeight="1" thickBot="1" x14ac:dyDescent="0.3">
      <c r="B173" s="116"/>
      <c r="D173" s="851" t="s">
        <v>817</v>
      </c>
      <c r="E173" s="851"/>
      <c r="F173" s="851"/>
      <c r="G173" s="123"/>
      <c r="H173" s="491">
        <f>SUM(H126:H172)</f>
        <v>42947.590000000004</v>
      </c>
      <c r="I173" s="492"/>
      <c r="J173" s="491">
        <f>SUM(J126:J172)</f>
        <v>42947.59</v>
      </c>
      <c r="K173" s="16">
        <f>+H173-J173</f>
        <v>0</v>
      </c>
      <c r="M173" s="5">
        <f>+H173-J173</f>
        <v>0</v>
      </c>
    </row>
    <row r="174" spans="2:13" ht="16.5" customHeight="1" thickTop="1" x14ac:dyDescent="0.25">
      <c r="B174" s="116"/>
      <c r="D174" s="109"/>
      <c r="E174" s="26"/>
      <c r="F174" s="26"/>
      <c r="G174" s="123"/>
      <c r="H174" s="124"/>
      <c r="I174" s="124"/>
      <c r="J174" s="124"/>
    </row>
    <row r="175" spans="2:13" ht="15" customHeight="1" x14ac:dyDescent="0.25">
      <c r="B175" s="116"/>
      <c r="D175" s="109"/>
      <c r="E175" s="26"/>
      <c r="F175" s="26"/>
      <c r="G175" s="123"/>
      <c r="H175" s="124"/>
      <c r="I175" s="124"/>
      <c r="J175" s="124"/>
    </row>
    <row r="176" spans="2:13" ht="17.25" customHeight="1" x14ac:dyDescent="0.25">
      <c r="B176">
        <v>22</v>
      </c>
      <c r="C176" s="246"/>
      <c r="D176" s="137" t="s">
        <v>684</v>
      </c>
      <c r="E176"/>
      <c r="F176" s="137"/>
      <c r="G176" s="161"/>
      <c r="H176" s="414">
        <v>0</v>
      </c>
      <c r="I176" s="208"/>
      <c r="J176" s="208"/>
      <c r="K176" s="16"/>
    </row>
    <row r="177" spans="2:13" ht="12.75" customHeight="1" x14ac:dyDescent="0.25">
      <c r="B177" s="116"/>
      <c r="D177" s="410" t="s">
        <v>17</v>
      </c>
      <c r="E177" s="137"/>
      <c r="F177" s="137"/>
      <c r="G177" s="20"/>
      <c r="H177" s="65"/>
      <c r="I177" s="65"/>
      <c r="J177" s="65"/>
    </row>
    <row r="178" spans="2:13" ht="15" customHeight="1" x14ac:dyDescent="0.25">
      <c r="B178" s="116"/>
      <c r="C178" s="209" t="s">
        <v>32</v>
      </c>
      <c r="D178" s="109" t="s">
        <v>91</v>
      </c>
      <c r="E178" s="26"/>
      <c r="F178" s="26"/>
      <c r="G178" s="123"/>
      <c r="H178" s="124"/>
      <c r="I178" s="124"/>
      <c r="J178" s="121">
        <f>+H176</f>
        <v>0</v>
      </c>
    </row>
    <row r="179" spans="2:13" ht="19.5" customHeight="1" thickBot="1" x14ac:dyDescent="0.3">
      <c r="B179" s="116"/>
      <c r="D179" s="847"/>
      <c r="E179" s="847"/>
      <c r="F179" s="847"/>
      <c r="G179" s="20"/>
      <c r="H179" s="415">
        <f>SUM(H176:I178)</f>
        <v>0</v>
      </c>
      <c r="I179" s="416"/>
      <c r="J179" s="415">
        <f>SUM(J178:K178)</f>
        <v>0</v>
      </c>
      <c r="K179" s="16">
        <f>+H179-J179</f>
        <v>0</v>
      </c>
    </row>
    <row r="180" spans="2:13" ht="12" customHeight="1" thickTop="1" x14ac:dyDescent="0.25">
      <c r="B180" s="116"/>
      <c r="D180" s="250"/>
      <c r="E180" s="250"/>
      <c r="F180" s="250"/>
      <c r="G180" s="117"/>
      <c r="H180" s="119"/>
      <c r="I180" s="119"/>
      <c r="J180" s="119"/>
      <c r="K180" s="16"/>
    </row>
    <row r="181" spans="2:13" ht="12" customHeight="1" x14ac:dyDescent="0.25">
      <c r="B181" s="116"/>
      <c r="D181" s="225"/>
      <c r="E181" s="225"/>
      <c r="F181" s="225"/>
      <c r="G181" s="117"/>
      <c r="H181" s="119"/>
      <c r="I181" s="119"/>
      <c r="J181" s="119"/>
    </row>
    <row r="182" spans="2:13" ht="17.25" customHeight="1" x14ac:dyDescent="0.25">
      <c r="B182" s="116">
        <v>23</v>
      </c>
      <c r="C182" s="246"/>
      <c r="D182" s="145" t="s">
        <v>649</v>
      </c>
      <c r="F182" s="26"/>
      <c r="G182" s="123"/>
      <c r="H182" s="121">
        <v>48126.16</v>
      </c>
      <c r="I182" s="124"/>
      <c r="J182" s="124"/>
    </row>
    <row r="183" spans="2:13" ht="12.75" customHeight="1" x14ac:dyDescent="0.25">
      <c r="B183" s="116"/>
      <c r="D183" s="145" t="s">
        <v>17</v>
      </c>
      <c r="E183" s="174"/>
      <c r="F183" s="174"/>
      <c r="G183" s="117"/>
      <c r="H183" s="411"/>
      <c r="I183" s="121"/>
      <c r="J183" s="121"/>
    </row>
    <row r="184" spans="2:13" ht="16.5" customHeight="1" x14ac:dyDescent="0.25">
      <c r="C184" s="318"/>
      <c r="D184" s="109" t="s">
        <v>637</v>
      </c>
      <c r="E184" s="174"/>
      <c r="F184" s="174"/>
      <c r="G184" s="117"/>
      <c r="H184" s="126"/>
      <c r="I184" s="121"/>
      <c r="J184" s="121">
        <f>+H182</f>
        <v>48126.16</v>
      </c>
    </row>
    <row r="185" spans="2:13" ht="21" customHeight="1" thickBot="1" x14ac:dyDescent="0.3">
      <c r="B185" s="116"/>
      <c r="D185" s="845" t="s">
        <v>818</v>
      </c>
      <c r="E185" s="845"/>
      <c r="F185" s="845"/>
      <c r="G185" s="117"/>
      <c r="H185" s="149">
        <f>SUM(H182:I184)</f>
        <v>48126.16</v>
      </c>
      <c r="I185" s="119"/>
      <c r="J185" s="149">
        <f>SUM(J183:J184)</f>
        <v>48126.16</v>
      </c>
      <c r="K185" s="16">
        <f>+H185-J185</f>
        <v>0</v>
      </c>
    </row>
    <row r="186" spans="2:13" ht="11.25" customHeight="1" thickTop="1" x14ac:dyDescent="0.25">
      <c r="B186" s="116"/>
      <c r="D186" s="402"/>
      <c r="E186" s="402"/>
      <c r="F186" s="402"/>
      <c r="G186" s="400"/>
      <c r="H186" s="401"/>
      <c r="I186" s="401"/>
      <c r="J186" s="401"/>
      <c r="K186" s="16"/>
    </row>
    <row r="187" spans="2:13" ht="11.25" customHeight="1" x14ac:dyDescent="0.25">
      <c r="B187" s="116"/>
      <c r="D187" s="109"/>
      <c r="E187" s="225"/>
      <c r="F187" s="225"/>
      <c r="G187" s="117"/>
      <c r="H187" s="119"/>
      <c r="I187" s="119"/>
      <c r="J187" s="119"/>
    </row>
    <row r="188" spans="2:13" ht="14.25" customHeight="1" x14ac:dyDescent="0.25">
      <c r="B188" s="116">
        <v>24</v>
      </c>
      <c r="D188" s="109" t="s">
        <v>637</v>
      </c>
      <c r="E188" s="109"/>
      <c r="F188" s="174"/>
      <c r="G188" s="117"/>
      <c r="H188" s="121">
        <v>0.01</v>
      </c>
      <c r="I188" s="121"/>
      <c r="J188" s="121"/>
      <c r="K188" s="109"/>
    </row>
    <row r="189" spans="2:13" ht="12.75" customHeight="1" x14ac:dyDescent="0.25">
      <c r="B189" s="116"/>
      <c r="D189" s="145" t="s">
        <v>17</v>
      </c>
      <c r="E189" s="174"/>
      <c r="F189" s="174"/>
      <c r="G189" s="117"/>
      <c r="H189" s="121"/>
      <c r="I189" s="121"/>
      <c r="J189" s="121"/>
    </row>
    <row r="190" spans="2:13" ht="16.5" customHeight="1" x14ac:dyDescent="0.25">
      <c r="B190" s="116"/>
      <c r="C190" s="318"/>
      <c r="D190" s="145" t="s">
        <v>649</v>
      </c>
      <c r="E190" s="91"/>
      <c r="F190" s="91"/>
      <c r="G190" s="133"/>
      <c r="H190" s="156"/>
      <c r="I190" s="156"/>
      <c r="J190" s="121">
        <f>+H188</f>
        <v>0.01</v>
      </c>
    </row>
    <row r="191" spans="2:13" ht="21" customHeight="1" thickBot="1" x14ac:dyDescent="0.3">
      <c r="B191" s="116"/>
      <c r="D191" s="847"/>
      <c r="E191" s="847"/>
      <c r="F191" s="847"/>
      <c r="G191" s="117"/>
      <c r="H191" s="149">
        <f>SUM(H188:H190)</f>
        <v>0.01</v>
      </c>
      <c r="I191" s="119"/>
      <c r="J191" s="149">
        <f>SUM(F189:J190)</f>
        <v>0.01</v>
      </c>
      <c r="K191" s="16">
        <f>+H191-J191</f>
        <v>0</v>
      </c>
      <c r="M191" s="5">
        <f>+H191-J191</f>
        <v>0</v>
      </c>
    </row>
    <row r="192" spans="2:13" ht="15.75" customHeight="1" thickTop="1" x14ac:dyDescent="0.25">
      <c r="B192" s="116"/>
      <c r="D192" s="554"/>
      <c r="E192" s="554"/>
      <c r="F192" s="554"/>
      <c r="G192" s="117"/>
      <c r="H192" s="119"/>
      <c r="I192" s="119"/>
      <c r="J192" s="119"/>
      <c r="K192" s="16"/>
      <c r="M192" s="5"/>
    </row>
    <row r="193" spans="2:13" ht="15.75" customHeight="1" x14ac:dyDescent="0.25">
      <c r="B193" s="116"/>
      <c r="C193" s="403"/>
      <c r="D193" s="402"/>
      <c r="E193" s="402"/>
      <c r="F193" s="402"/>
      <c r="G193" s="400"/>
      <c r="H193" s="401"/>
      <c r="I193" s="401"/>
      <c r="J193" s="401"/>
      <c r="K193" s="16"/>
    </row>
    <row r="194" spans="2:13" ht="14.25" customHeight="1" x14ac:dyDescent="0.25">
      <c r="B194" s="116">
        <v>25</v>
      </c>
      <c r="D194" s="145" t="s">
        <v>649</v>
      </c>
      <c r="E194" s="109"/>
      <c r="F194" s="174"/>
      <c r="G194" s="117"/>
      <c r="H194" s="121">
        <v>0</v>
      </c>
      <c r="I194" s="121"/>
      <c r="J194" s="121"/>
      <c r="K194" s="109"/>
    </row>
    <row r="195" spans="2:13" ht="12.75" customHeight="1" x14ac:dyDescent="0.25">
      <c r="B195" s="116"/>
      <c r="D195" s="145" t="s">
        <v>17</v>
      </c>
      <c r="E195" s="174"/>
      <c r="F195" s="174"/>
      <c r="G195" s="117"/>
      <c r="H195" s="121"/>
      <c r="I195" s="121"/>
      <c r="J195" s="121"/>
    </row>
    <row r="196" spans="2:13" ht="16.5" customHeight="1" x14ac:dyDescent="0.25">
      <c r="B196" s="116"/>
      <c r="C196" s="318"/>
      <c r="D196" s="109" t="s">
        <v>637</v>
      </c>
      <c r="E196" s="91"/>
      <c r="F196" s="91"/>
      <c r="G196" s="133"/>
      <c r="H196" s="156"/>
      <c r="I196" s="156"/>
      <c r="J196" s="121">
        <v>0</v>
      </c>
    </row>
    <row r="197" spans="2:13" ht="27.75" customHeight="1" thickBot="1" x14ac:dyDescent="0.3">
      <c r="B197" s="116"/>
      <c r="D197" s="847"/>
      <c r="E197" s="847"/>
      <c r="F197" s="847"/>
      <c r="G197" s="117"/>
      <c r="H197" s="149">
        <f>SUM(H194:H196)</f>
        <v>0</v>
      </c>
      <c r="I197" s="119"/>
      <c r="J197" s="149">
        <f>SUM(F195:J196)</f>
        <v>0</v>
      </c>
      <c r="K197" s="16">
        <f>+H197-J197</f>
        <v>0</v>
      </c>
      <c r="M197" s="5">
        <f>+H197-J197</f>
        <v>0</v>
      </c>
    </row>
    <row r="198" spans="2:13" ht="12" customHeight="1" thickTop="1" x14ac:dyDescent="0.25">
      <c r="B198" s="116"/>
      <c r="E198" s="26"/>
      <c r="F198" s="26"/>
      <c r="G198" s="117"/>
      <c r="H198" s="121"/>
      <c r="I198" s="121"/>
      <c r="J198" s="125"/>
    </row>
    <row r="199" spans="2:13" ht="14.25" customHeight="1" x14ac:dyDescent="0.25">
      <c r="B199" s="116">
        <v>26</v>
      </c>
      <c r="D199" s="109" t="s">
        <v>647</v>
      </c>
      <c r="E199" s="26"/>
      <c r="F199" s="26"/>
      <c r="G199" s="117"/>
      <c r="H199" s="121">
        <v>0.02</v>
      </c>
      <c r="I199" s="121"/>
      <c r="J199" s="121"/>
    </row>
    <row r="200" spans="2:13" ht="14.25" customHeight="1" x14ac:dyDescent="0.25">
      <c r="B200" s="116"/>
      <c r="D200" s="145" t="s">
        <v>17</v>
      </c>
      <c r="E200" s="26"/>
      <c r="F200" s="26"/>
      <c r="G200" s="117"/>
      <c r="H200" s="121"/>
      <c r="I200" s="121"/>
      <c r="J200" s="121"/>
    </row>
    <row r="201" spans="2:13" ht="14.25" customHeight="1" x14ac:dyDescent="0.25">
      <c r="B201" s="116"/>
      <c r="D201" s="109" t="s">
        <v>657</v>
      </c>
      <c r="E201" s="26"/>
      <c r="F201" s="26"/>
      <c r="G201" s="117"/>
      <c r="I201" s="121"/>
      <c r="J201" s="118">
        <f>+H199</f>
        <v>0.02</v>
      </c>
    </row>
    <row r="202" spans="2:13" ht="21" customHeight="1" thickBot="1" x14ac:dyDescent="0.3">
      <c r="B202" s="116"/>
      <c r="D202" s="845" t="s">
        <v>844</v>
      </c>
      <c r="E202" s="845"/>
      <c r="F202" s="845"/>
      <c r="G202" s="123"/>
      <c r="H202" s="204">
        <f>SUM(H199:H201)</f>
        <v>0.02</v>
      </c>
      <c r="I202" s="205"/>
      <c r="J202" s="204">
        <f>SUM(J199:J201)</f>
        <v>0.02</v>
      </c>
      <c r="K202" s="16">
        <f>+H202-J202</f>
        <v>0</v>
      </c>
    </row>
    <row r="203" spans="2:13" ht="12" customHeight="1" thickTop="1" x14ac:dyDescent="0.25">
      <c r="B203" s="116"/>
      <c r="D203" s="109"/>
      <c r="E203" s="26"/>
      <c r="F203" s="26"/>
      <c r="G203" s="117"/>
      <c r="H203" s="121"/>
      <c r="I203" s="121"/>
      <c r="J203" s="121"/>
    </row>
    <row r="204" spans="2:13" ht="12" customHeight="1" x14ac:dyDescent="0.25">
      <c r="E204" s="26"/>
      <c r="F204" s="26"/>
      <c r="G204" s="117"/>
      <c r="I204" s="121"/>
      <c r="J204" s="121"/>
    </row>
    <row r="205" spans="2:13" ht="12.75" customHeight="1" x14ac:dyDescent="0.25">
      <c r="B205" s="116">
        <v>27</v>
      </c>
      <c r="D205" s="109" t="s">
        <v>656</v>
      </c>
      <c r="E205" s="26"/>
      <c r="F205" s="26"/>
      <c r="G205" s="117"/>
      <c r="H205" s="121">
        <f>+SEGURO!J10+SEGURO!J12-0.01</f>
        <v>19682.915000000001</v>
      </c>
      <c r="I205" s="121"/>
      <c r="J205" s="121"/>
    </row>
    <row r="206" spans="2:13" ht="12.75" customHeight="1" x14ac:dyDescent="0.25">
      <c r="B206" s="116"/>
      <c r="D206" s="109" t="s">
        <v>17</v>
      </c>
      <c r="E206" s="26"/>
      <c r="F206" s="26"/>
      <c r="G206" s="117"/>
      <c r="H206" s="121"/>
      <c r="I206" s="121"/>
      <c r="J206" s="121"/>
    </row>
    <row r="207" spans="2:13" ht="12.75" customHeight="1" x14ac:dyDescent="0.25">
      <c r="B207" s="116"/>
      <c r="D207" s="109" t="s">
        <v>667</v>
      </c>
      <c r="E207" s="26"/>
      <c r="F207" s="26"/>
      <c r="G207" s="117"/>
      <c r="H207" s="121"/>
      <c r="I207" s="121"/>
      <c r="J207" s="121">
        <f>+H205</f>
        <v>19682.915000000001</v>
      </c>
      <c r="K207" s="282"/>
    </row>
    <row r="208" spans="2:13" ht="27" customHeight="1" thickBot="1" x14ac:dyDescent="0.3">
      <c r="B208" s="116"/>
      <c r="D208" s="845" t="s">
        <v>819</v>
      </c>
      <c r="E208" s="845"/>
      <c r="F208" s="845"/>
      <c r="G208" s="283"/>
      <c r="H208" s="149">
        <f>SUM(H205:H207)</f>
        <v>19682.915000000001</v>
      </c>
      <c r="I208" s="119"/>
      <c r="J208" s="149">
        <f>SUM(J204:J207)</f>
        <v>19682.915000000001</v>
      </c>
      <c r="K208" s="16">
        <f>+H208-J208</f>
        <v>0</v>
      </c>
      <c r="M208" s="5"/>
    </row>
    <row r="209" spans="2:14" ht="12" customHeight="1" thickTop="1" x14ac:dyDescent="0.25">
      <c r="B209" s="116"/>
      <c r="E209" s="109"/>
      <c r="F209" s="109"/>
      <c r="G209" s="283"/>
      <c r="H209" s="124"/>
      <c r="I209" s="124"/>
      <c r="J209" s="124"/>
      <c r="K209" s="282"/>
    </row>
    <row r="210" spans="2:14" ht="12" customHeight="1" x14ac:dyDescent="0.25">
      <c r="B210" s="116"/>
      <c r="E210" s="26"/>
      <c r="F210" s="26"/>
      <c r="G210" s="283"/>
      <c r="H210" s="124"/>
      <c r="I210" s="124"/>
      <c r="J210" s="124"/>
      <c r="K210" s="282"/>
    </row>
    <row r="211" spans="2:14" s="26" customFormat="1" ht="12.75" customHeight="1" x14ac:dyDescent="0.2">
      <c r="B211" s="81">
        <v>28</v>
      </c>
      <c r="C211" s="320"/>
      <c r="D211" s="109" t="s">
        <v>647</v>
      </c>
      <c r="H211" s="121">
        <f>+SEGURO!J9</f>
        <v>32535.691666666666</v>
      </c>
      <c r="K211" s="379"/>
      <c r="L211" s="81"/>
      <c r="N211" s="421"/>
    </row>
    <row r="212" spans="2:14" s="26" customFormat="1" ht="12.75" customHeight="1" x14ac:dyDescent="0.2">
      <c r="B212" s="81"/>
      <c r="C212" s="320"/>
      <c r="D212" s="109" t="s">
        <v>648</v>
      </c>
      <c r="H212" s="121">
        <f>+SEGURO!J11</f>
        <v>30514.350833333334</v>
      </c>
      <c r="K212" s="379"/>
      <c r="L212" s="81"/>
      <c r="N212" s="421"/>
    </row>
    <row r="213" spans="2:14" ht="12.75" customHeight="1" x14ac:dyDescent="0.25">
      <c r="B213" s="116"/>
      <c r="D213" s="109" t="s">
        <v>17</v>
      </c>
      <c r="E213" s="26"/>
      <c r="F213" s="26"/>
      <c r="G213" s="117"/>
      <c r="H213" s="121"/>
      <c r="I213" s="121"/>
      <c r="J213" s="121"/>
    </row>
    <row r="214" spans="2:14" ht="12.75" customHeight="1" x14ac:dyDescent="0.25">
      <c r="B214" s="116"/>
      <c r="D214" s="109" t="s">
        <v>657</v>
      </c>
      <c r="E214" s="26"/>
      <c r="F214" s="26"/>
      <c r="G214" s="117"/>
      <c r="H214" s="121"/>
      <c r="I214" s="121"/>
      <c r="J214" s="121">
        <f>+H211</f>
        <v>32535.691666666666</v>
      </c>
    </row>
    <row r="215" spans="2:14" ht="12.75" customHeight="1" x14ac:dyDescent="0.25">
      <c r="B215" s="116"/>
      <c r="C215" s="166"/>
      <c r="D215" s="109" t="s">
        <v>658</v>
      </c>
      <c r="E215" s="26"/>
      <c r="F215" s="26"/>
      <c r="G215" s="117"/>
      <c r="H215" s="126"/>
      <c r="I215" s="121"/>
      <c r="J215" s="121">
        <f>+H212</f>
        <v>30514.350833333334</v>
      </c>
    </row>
    <row r="216" spans="2:14" ht="25.5" customHeight="1" thickBot="1" x14ac:dyDescent="0.3">
      <c r="B216" s="116"/>
      <c r="C216" s="166"/>
      <c r="D216" s="851" t="s">
        <v>820</v>
      </c>
      <c r="E216" s="851"/>
      <c r="F216" s="851"/>
      <c r="G216" s="117"/>
      <c r="H216" s="149">
        <f>SUM(H211:H215)</f>
        <v>63050.042499999996</v>
      </c>
      <c r="I216" s="119"/>
      <c r="J216" s="149">
        <f>SUM(J211:J215)</f>
        <v>63050.042499999996</v>
      </c>
      <c r="K216" s="16">
        <f>+H216-J216</f>
        <v>0</v>
      </c>
      <c r="M216" s="5">
        <f>+J208+J216</f>
        <v>82732.95749999999</v>
      </c>
    </row>
    <row r="217" spans="2:14" ht="12" customHeight="1" thickTop="1" x14ac:dyDescent="0.25">
      <c r="B217" s="116"/>
      <c r="C217" s="166"/>
      <c r="D217" s="404"/>
      <c r="E217" s="404"/>
      <c r="F217" s="404"/>
      <c r="G217" s="400"/>
      <c r="H217" s="401"/>
      <c r="I217" s="401"/>
      <c r="J217" s="401"/>
      <c r="K217" s="16"/>
    </row>
    <row r="218" spans="2:14" ht="12" customHeight="1" x14ac:dyDescent="0.25">
      <c r="B218" s="116"/>
      <c r="C218" s="166"/>
      <c r="D218" s="109"/>
      <c r="E218" s="26"/>
      <c r="F218" s="26"/>
      <c r="G218" s="283"/>
      <c r="H218" s="124"/>
      <c r="I218" s="124"/>
      <c r="J218" s="124"/>
    </row>
    <row r="219" spans="2:14" ht="13.5" customHeight="1" x14ac:dyDescent="0.25">
      <c r="B219" s="81">
        <v>29</v>
      </c>
      <c r="C219" s="166"/>
      <c r="D219" s="145" t="s">
        <v>593</v>
      </c>
      <c r="E219" s="26"/>
      <c r="F219" s="26"/>
      <c r="G219" s="283"/>
      <c r="H219" s="7">
        <v>48749.98</v>
      </c>
      <c r="I219" s="121"/>
      <c r="J219" s="121"/>
    </row>
    <row r="220" spans="2:14" ht="13.5" customHeight="1" x14ac:dyDescent="0.25">
      <c r="B220" s="116"/>
      <c r="C220" s="166"/>
      <c r="D220" s="145" t="s">
        <v>17</v>
      </c>
      <c r="E220" s="26"/>
      <c r="F220" s="26"/>
      <c r="G220" s="283"/>
      <c r="H220" s="121"/>
      <c r="I220" s="121"/>
      <c r="J220" s="121"/>
    </row>
    <row r="221" spans="2:14" ht="13.5" customHeight="1" x14ac:dyDescent="0.25">
      <c r="B221" s="116"/>
      <c r="C221" s="166"/>
      <c r="D221" s="145" t="s">
        <v>633</v>
      </c>
      <c r="E221" s="26"/>
      <c r="F221" s="26"/>
      <c r="G221" s="283"/>
      <c r="H221" s="121"/>
      <c r="I221" s="121"/>
      <c r="J221" s="7">
        <f>+H219</f>
        <v>48749.98</v>
      </c>
      <c r="K221" s="281"/>
    </row>
    <row r="222" spans="2:14" ht="30" customHeight="1" thickBot="1" x14ac:dyDescent="0.3">
      <c r="B222" s="116"/>
      <c r="C222" s="166"/>
      <c r="D222" s="848" t="s">
        <v>821</v>
      </c>
      <c r="E222" s="848"/>
      <c r="F222" s="848"/>
      <c r="G222" s="117"/>
      <c r="H222" s="149">
        <f>SUM(H218:H221)</f>
        <v>48749.98</v>
      </c>
      <c r="I222" s="119"/>
      <c r="J222" s="149">
        <f>SUM(J218:J221)</f>
        <v>48749.98</v>
      </c>
      <c r="K222" s="380"/>
      <c r="L222" s="378"/>
    </row>
    <row r="223" spans="2:14" ht="11.25" customHeight="1" thickTop="1" x14ac:dyDescent="0.25">
      <c r="B223" s="116"/>
      <c r="C223" s="166"/>
      <c r="D223" s="405"/>
      <c r="E223" s="405"/>
      <c r="F223" s="405"/>
      <c r="G223" s="400"/>
      <c r="H223" s="401"/>
      <c r="I223" s="401"/>
      <c r="J223" s="401"/>
      <c r="K223" s="406"/>
      <c r="L223" s="407"/>
    </row>
    <row r="224" spans="2:14" ht="11.25" customHeight="1" x14ac:dyDescent="0.25">
      <c r="B224" s="116"/>
      <c r="C224" s="166"/>
      <c r="E224" s="26"/>
      <c r="F224" s="26"/>
      <c r="G224" s="283"/>
      <c r="H224" s="124"/>
      <c r="I224" s="124"/>
      <c r="J224" s="124"/>
      <c r="K224" s="16"/>
      <c r="L224" s="378"/>
    </row>
    <row r="225" spans="1:16" s="26" customFormat="1" ht="12.75" customHeight="1" x14ac:dyDescent="0.2">
      <c r="B225" s="81">
        <v>30</v>
      </c>
      <c r="C225" s="320"/>
      <c r="D225" s="145" t="s">
        <v>593</v>
      </c>
      <c r="G225" s="117"/>
      <c r="H225" s="121">
        <f>SUM(J227:J232)</f>
        <v>171319.31</v>
      </c>
      <c r="I225" s="121"/>
      <c r="J225" s="121"/>
      <c r="K225" s="381"/>
      <c r="L225" s="81"/>
      <c r="M225" s="38">
        <f>+J222+J233</f>
        <v>220069.29</v>
      </c>
      <c r="N225" s="421"/>
    </row>
    <row r="226" spans="1:16" ht="12.75" customHeight="1" x14ac:dyDescent="0.25">
      <c r="B226" s="116"/>
      <c r="C226" s="209" t="s">
        <v>0</v>
      </c>
      <c r="D226" s="145" t="s">
        <v>17</v>
      </c>
      <c r="E226" s="26"/>
      <c r="F226" s="26"/>
      <c r="G226" s="117"/>
      <c r="H226" s="121"/>
      <c r="I226" s="121"/>
      <c r="J226" s="121"/>
    </row>
    <row r="227" spans="1:16" ht="12.75" customHeight="1" x14ac:dyDescent="0.25">
      <c r="B227" s="116"/>
      <c r="C227" s="166"/>
      <c r="D227" s="145" t="s">
        <v>258</v>
      </c>
      <c r="E227" s="26"/>
      <c r="F227" s="26"/>
      <c r="G227" s="117"/>
      <c r="I227" s="121"/>
      <c r="J227" s="411">
        <v>56352.98</v>
      </c>
    </row>
    <row r="228" spans="1:16" ht="18" customHeight="1" x14ac:dyDescent="0.25">
      <c r="B228" s="116"/>
      <c r="C228" s="166"/>
      <c r="D228" s="145" t="s">
        <v>172</v>
      </c>
      <c r="E228" s="26"/>
      <c r="F228" s="26"/>
      <c r="G228" s="117"/>
      <c r="I228" s="121"/>
      <c r="J228" s="411">
        <v>37237.97</v>
      </c>
      <c r="M228" s="3"/>
      <c r="O228" s="3"/>
    </row>
    <row r="229" spans="1:16" ht="15" customHeight="1" x14ac:dyDescent="0.25">
      <c r="B229" s="116"/>
      <c r="C229" s="166"/>
      <c r="D229" s="145" t="s">
        <v>547</v>
      </c>
      <c r="E229" s="26"/>
      <c r="F229" s="26"/>
      <c r="G229" s="117"/>
      <c r="I229" s="121"/>
      <c r="J229" s="411">
        <f>1870.37+3835.19</f>
        <v>5705.5599999999995</v>
      </c>
      <c r="K229" s="281"/>
      <c r="L229" s="116"/>
      <c r="M229" s="3"/>
    </row>
    <row r="230" spans="1:16" s="298" customFormat="1" ht="15" customHeight="1" x14ac:dyDescent="0.25">
      <c r="A230"/>
      <c r="B230" s="116"/>
      <c r="C230" s="166"/>
      <c r="D230" s="145" t="s">
        <v>173</v>
      </c>
      <c r="E230" s="26"/>
      <c r="F230" s="26"/>
      <c r="G230" s="117"/>
      <c r="H230" s="7"/>
      <c r="I230" s="121"/>
      <c r="J230" s="411">
        <f>40229.08+1953.08+26140.44+395.83</f>
        <v>68718.430000000008</v>
      </c>
      <c r="K230" s="382"/>
      <c r="L230" s="383"/>
      <c r="M230" s="384"/>
      <c r="N230" s="300"/>
      <c r="O230" s="299"/>
      <c r="P230" s="299"/>
    </row>
    <row r="231" spans="1:16" ht="12.75" customHeight="1" x14ac:dyDescent="0.25">
      <c r="B231" s="116"/>
      <c r="C231" s="320"/>
      <c r="D231" s="145" t="s">
        <v>174</v>
      </c>
      <c r="E231" s="26"/>
      <c r="F231" s="26"/>
      <c r="G231" s="117"/>
      <c r="I231" s="121"/>
      <c r="J231" s="397">
        <v>2243.4699999999998</v>
      </c>
      <c r="K231" s="382"/>
      <c r="L231" s="383"/>
      <c r="M231" s="3"/>
    </row>
    <row r="232" spans="1:16" ht="12.75" customHeight="1" x14ac:dyDescent="0.25">
      <c r="B232" s="116"/>
      <c r="D232" s="145" t="s">
        <v>175</v>
      </c>
      <c r="E232" s="26"/>
      <c r="F232" s="26"/>
      <c r="G232" s="117"/>
      <c r="I232" s="121"/>
      <c r="J232" s="504">
        <v>1060.9000000000001</v>
      </c>
      <c r="K232" s="382"/>
      <c r="L232" s="383"/>
    </row>
    <row r="233" spans="1:16" ht="27.75" customHeight="1" thickBot="1" x14ac:dyDescent="0.3">
      <c r="B233" s="116"/>
      <c r="C233" s="166"/>
      <c r="D233" s="845" t="s">
        <v>822</v>
      </c>
      <c r="E233" s="845"/>
      <c r="F233" s="845"/>
      <c r="G233" s="123"/>
      <c r="H233" s="204">
        <f>SUM(H225:H232)</f>
        <v>171319.31</v>
      </c>
      <c r="I233" s="205"/>
      <c r="J233" s="274">
        <f>SUM(J227:J232)</f>
        <v>171319.31</v>
      </c>
      <c r="K233" s="16">
        <f>+H233-J233</f>
        <v>0</v>
      </c>
      <c r="M233" s="5">
        <f>+H233-J233</f>
        <v>0</v>
      </c>
    </row>
    <row r="234" spans="1:16" ht="15" customHeight="1" thickTop="1" x14ac:dyDescent="0.25">
      <c r="B234" s="116"/>
      <c r="C234" s="166"/>
      <c r="D234" s="854"/>
      <c r="E234" s="854"/>
      <c r="F234" s="854"/>
      <c r="G234" s="117"/>
      <c r="H234" s="119"/>
      <c r="I234" s="119"/>
      <c r="J234" s="119"/>
    </row>
    <row r="235" spans="1:16" ht="15" customHeight="1" x14ac:dyDescent="0.25">
      <c r="B235" s="116"/>
      <c r="C235" s="166"/>
      <c r="D235" s="398"/>
      <c r="E235" s="398"/>
      <c r="F235" s="398"/>
      <c r="G235" s="117"/>
      <c r="H235" s="119"/>
      <c r="I235" s="119"/>
      <c r="J235" s="119"/>
    </row>
    <row r="236" spans="1:16" s="26" customFormat="1" ht="12.75" customHeight="1" x14ac:dyDescent="0.2">
      <c r="B236" s="81">
        <v>31</v>
      </c>
      <c r="C236" s="320"/>
      <c r="D236" s="410" t="s">
        <v>610</v>
      </c>
      <c r="G236" s="117"/>
      <c r="H236" s="121">
        <f>+'Pago Mayo'!G30+114.84</f>
        <v>378009.05</v>
      </c>
      <c r="I236" s="121"/>
      <c r="J236" s="121"/>
      <c r="K236" s="379"/>
      <c r="L236" s="81"/>
      <c r="N236" s="421"/>
    </row>
    <row r="237" spans="1:16" ht="13.5" customHeight="1" x14ac:dyDescent="0.25">
      <c r="B237" s="116"/>
      <c r="D237" s="410" t="s">
        <v>676</v>
      </c>
      <c r="E237" s="26"/>
      <c r="F237" s="26"/>
      <c r="G237" s="117"/>
      <c r="H237" s="121">
        <v>0</v>
      </c>
      <c r="I237" s="121"/>
    </row>
    <row r="238" spans="1:16" ht="12.75" customHeight="1" x14ac:dyDescent="0.25">
      <c r="B238" s="116"/>
      <c r="C238" s="166"/>
      <c r="D238" s="410" t="s">
        <v>16</v>
      </c>
      <c r="E238" s="26"/>
      <c r="F238" s="26"/>
      <c r="G238" s="117"/>
      <c r="H238" s="121">
        <v>0</v>
      </c>
      <c r="I238" s="121"/>
      <c r="J238" s="393"/>
    </row>
    <row r="239" spans="1:16" ht="12.75" customHeight="1" x14ac:dyDescent="0.25">
      <c r="B239" s="116"/>
      <c r="C239" s="209" t="s">
        <v>0</v>
      </c>
      <c r="D239" s="410" t="s">
        <v>17</v>
      </c>
      <c r="E239" s="26"/>
      <c r="F239" s="26"/>
      <c r="G239" s="117"/>
      <c r="H239" s="121"/>
      <c r="I239" s="121"/>
      <c r="J239" s="121"/>
    </row>
    <row r="240" spans="1:16" ht="13.5" customHeight="1" x14ac:dyDescent="0.25">
      <c r="B240" s="116"/>
      <c r="D240" s="410" t="s">
        <v>680</v>
      </c>
      <c r="E240" s="26"/>
      <c r="F240" s="26"/>
      <c r="G240" s="117"/>
      <c r="H240" s="121"/>
      <c r="I240" s="121"/>
    </row>
    <row r="241" spans="2:14" ht="12.75" customHeight="1" x14ac:dyDescent="0.25">
      <c r="B241" s="116"/>
      <c r="D241" s="410" t="s">
        <v>65</v>
      </c>
      <c r="E241" s="26"/>
      <c r="F241" s="26"/>
      <c r="G241" s="117"/>
      <c r="H241" s="121"/>
      <c r="I241" s="121"/>
      <c r="J241" s="121">
        <v>114.84</v>
      </c>
      <c r="K241" s="16"/>
      <c r="M241" s="1"/>
    </row>
    <row r="242" spans="2:14" ht="12.75" customHeight="1" x14ac:dyDescent="0.25">
      <c r="B242" s="116"/>
      <c r="C242" s="166"/>
      <c r="D242" s="410" t="s">
        <v>16</v>
      </c>
      <c r="E242" s="26"/>
      <c r="F242" s="26"/>
      <c r="G242" s="117"/>
      <c r="I242" s="121"/>
      <c r="J242" s="121">
        <f>+'Pago Mayo'!G30</f>
        <v>377894.20999999996</v>
      </c>
    </row>
    <row r="243" spans="2:14" ht="27.75" customHeight="1" thickBot="1" x14ac:dyDescent="0.3">
      <c r="B243" s="116"/>
      <c r="C243" s="166"/>
      <c r="D243" s="845" t="s">
        <v>868</v>
      </c>
      <c r="E243" s="845"/>
      <c r="F243" s="845"/>
      <c r="G243" s="123"/>
      <c r="H243" s="204">
        <f>SUM(H236:H242)</f>
        <v>378009.05</v>
      </c>
      <c r="I243" s="205"/>
      <c r="J243" s="204">
        <f>SUM(J237:J242)</f>
        <v>378009.05</v>
      </c>
      <c r="K243" s="16">
        <f>+H243-J243</f>
        <v>0</v>
      </c>
      <c r="M243" s="5">
        <f>+H243-J243</f>
        <v>0</v>
      </c>
    </row>
    <row r="244" spans="2:14" ht="12" customHeight="1" thickTop="1" x14ac:dyDescent="0.25">
      <c r="B244" s="116"/>
      <c r="C244" s="166"/>
      <c r="D244" s="335"/>
      <c r="E244" s="335"/>
      <c r="F244" s="335"/>
      <c r="G244" s="123"/>
      <c r="H244" s="124"/>
      <c r="I244" s="124"/>
      <c r="J244" s="124"/>
      <c r="K244" s="16"/>
    </row>
    <row r="245" spans="2:14" ht="12" customHeight="1" x14ac:dyDescent="0.25">
      <c r="B245" s="116"/>
      <c r="C245" s="166"/>
      <c r="D245" s="145"/>
      <c r="E245" s="145"/>
      <c r="F245" s="145"/>
      <c r="G245" s="123"/>
      <c r="H245" s="124"/>
      <c r="I245" s="124"/>
      <c r="J245" s="124"/>
      <c r="K245" s="16"/>
    </row>
    <row r="246" spans="2:14" ht="13.5" customHeight="1" x14ac:dyDescent="0.25">
      <c r="B246" s="550">
        <v>32</v>
      </c>
      <c r="C246" s="166"/>
      <c r="D246" s="512" t="s">
        <v>980</v>
      </c>
      <c r="E246" s="486"/>
      <c r="F246" s="486"/>
      <c r="G246" s="405"/>
      <c r="H246" s="411">
        <v>0.28999999999999998</v>
      </c>
      <c r="I246" s="411"/>
      <c r="J246" s="411"/>
      <c r="M246" s="145"/>
    </row>
    <row r="247" spans="2:14" ht="13.5" customHeight="1" x14ac:dyDescent="0.25">
      <c r="B247" s="550"/>
      <c r="C247" s="166"/>
      <c r="D247" s="512" t="s">
        <v>981</v>
      </c>
      <c r="E247" s="486"/>
      <c r="F247" s="486"/>
      <c r="G247" s="405"/>
      <c r="H247" s="7">
        <v>2137988.9300000002</v>
      </c>
      <c r="I247" s="411"/>
      <c r="J247" s="411"/>
    </row>
    <row r="248" spans="2:14" ht="13.5" customHeight="1" x14ac:dyDescent="0.25">
      <c r="B248" s="550"/>
      <c r="C248" s="166"/>
      <c r="D248" s="512" t="s">
        <v>982</v>
      </c>
      <c r="E248" s="486"/>
      <c r="F248" s="486"/>
      <c r="G248" s="405"/>
      <c r="H248" s="411">
        <v>16284.06</v>
      </c>
      <c r="I248" s="411"/>
      <c r="J248" s="411"/>
    </row>
    <row r="249" spans="2:14" ht="14.25" customHeight="1" x14ac:dyDescent="0.25">
      <c r="B249" s="116"/>
      <c r="C249" s="166"/>
      <c r="D249" s="512" t="s">
        <v>173</v>
      </c>
      <c r="E249" s="512"/>
      <c r="F249" s="512"/>
      <c r="G249" s="797"/>
      <c r="H249" s="411">
        <v>698057.28</v>
      </c>
      <c r="I249" s="703"/>
      <c r="J249" s="703"/>
      <c r="K249" s="16"/>
    </row>
    <row r="250" spans="2:14" ht="14.25" customHeight="1" x14ac:dyDescent="0.25">
      <c r="B250" s="116"/>
      <c r="C250" s="166"/>
      <c r="D250" s="512" t="s">
        <v>168</v>
      </c>
      <c r="E250" s="512"/>
      <c r="F250" s="512"/>
      <c r="G250" s="797"/>
      <c r="H250" s="411">
        <v>196650.88</v>
      </c>
      <c r="I250" s="703"/>
      <c r="J250" s="703"/>
      <c r="K250" s="16"/>
    </row>
    <row r="251" spans="2:14" ht="13.5" customHeight="1" x14ac:dyDescent="0.25">
      <c r="C251" s="166"/>
      <c r="D251" s="512" t="s">
        <v>175</v>
      </c>
      <c r="E251" s="486"/>
      <c r="F251" s="486"/>
      <c r="G251" s="405"/>
      <c r="H251" s="411">
        <f>227901+0.66</f>
        <v>227901.66</v>
      </c>
      <c r="I251" s="798"/>
      <c r="J251" s="411"/>
    </row>
    <row r="252" spans="2:14" ht="13.5" customHeight="1" x14ac:dyDescent="0.25">
      <c r="B252" s="550"/>
      <c r="C252" s="166"/>
      <c r="D252" s="145" t="s">
        <v>593</v>
      </c>
      <c r="E252" s="486"/>
      <c r="F252" s="486"/>
      <c r="G252" s="405"/>
      <c r="H252" s="411">
        <v>0.05</v>
      </c>
      <c r="I252" s="411"/>
      <c r="J252" s="411"/>
      <c r="M252" s="145"/>
    </row>
    <row r="253" spans="2:14" ht="13.5" customHeight="1" x14ac:dyDescent="0.25">
      <c r="C253" s="166"/>
      <c r="D253" s="400" t="s">
        <v>17</v>
      </c>
      <c r="E253" s="486"/>
      <c r="F253" s="486"/>
      <c r="G253" s="405"/>
      <c r="H253" s="411"/>
      <c r="I253" s="798"/>
      <c r="J253" s="411"/>
    </row>
    <row r="254" spans="2:14" s="691" customFormat="1" ht="13.5" customHeight="1" x14ac:dyDescent="0.25">
      <c r="B254" s="803"/>
      <c r="C254" s="804"/>
      <c r="D254" s="512" t="s">
        <v>983</v>
      </c>
      <c r="E254" s="486"/>
      <c r="F254" s="486"/>
      <c r="G254" s="405"/>
      <c r="H254" s="411"/>
      <c r="I254" s="411"/>
      <c r="J254" s="411">
        <v>2134289.2200000002</v>
      </c>
      <c r="K254" s="805"/>
      <c r="L254" s="806"/>
      <c r="N254" s="807"/>
    </row>
    <row r="255" spans="2:14" ht="13.5" customHeight="1" x14ac:dyDescent="0.25">
      <c r="B255" s="550"/>
      <c r="C255" s="166"/>
      <c r="D255" s="512" t="s">
        <v>984</v>
      </c>
      <c r="E255" s="486"/>
      <c r="F255" s="486"/>
      <c r="G255" s="405"/>
      <c r="H255" s="411"/>
      <c r="I255" s="411"/>
      <c r="J255" s="411">
        <v>8483.76</v>
      </c>
    </row>
    <row r="256" spans="2:14" ht="13.5" customHeight="1" x14ac:dyDescent="0.25">
      <c r="B256" s="550"/>
      <c r="C256" s="166"/>
      <c r="D256" s="512" t="s">
        <v>587</v>
      </c>
      <c r="E256" s="486"/>
      <c r="F256" s="486"/>
      <c r="G256" s="405"/>
      <c r="I256" s="411"/>
      <c r="J256" s="411">
        <v>573985.18999999994</v>
      </c>
    </row>
    <row r="257" spans="2:13" ht="13.5" customHeight="1" x14ac:dyDescent="0.25">
      <c r="C257" s="166"/>
      <c r="D257" s="512" t="s">
        <v>174</v>
      </c>
      <c r="E257" s="486"/>
      <c r="F257" s="486"/>
      <c r="G257" s="405"/>
      <c r="H257" s="411"/>
      <c r="I257" s="798"/>
      <c r="J257" s="411">
        <v>324013.81</v>
      </c>
    </row>
    <row r="258" spans="2:13" ht="13.5" customHeight="1" x14ac:dyDescent="0.25">
      <c r="C258" s="166"/>
      <c r="D258" s="512" t="s">
        <v>169</v>
      </c>
      <c r="E258" s="486"/>
      <c r="F258" s="486"/>
      <c r="G258" s="405"/>
      <c r="H258" s="411"/>
      <c r="I258" s="798"/>
      <c r="J258" s="411">
        <v>236111.12</v>
      </c>
    </row>
    <row r="259" spans="2:13" ht="13.5" customHeight="1" x14ac:dyDescent="0.25">
      <c r="B259" s="116"/>
      <c r="C259" s="166"/>
      <c r="D259" s="512" t="s">
        <v>632</v>
      </c>
      <c r="E259" s="799"/>
      <c r="F259" s="799"/>
      <c r="G259" s="800"/>
      <c r="H259" s="411"/>
      <c r="I259" s="798"/>
      <c r="J259" s="411">
        <v>0.05</v>
      </c>
    </row>
    <row r="260" spans="2:13" ht="39.75" customHeight="1" thickBot="1" x14ac:dyDescent="0.3">
      <c r="B260" s="116"/>
      <c r="C260" s="166"/>
      <c r="D260" s="856" t="s">
        <v>977</v>
      </c>
      <c r="E260" s="856"/>
      <c r="F260" s="856"/>
      <c r="G260" s="117"/>
      <c r="H260" s="149">
        <f>SUM(H246:H259)</f>
        <v>3276883.1500000004</v>
      </c>
      <c r="I260" s="119"/>
      <c r="J260" s="149">
        <f>SUM(J247:J259)</f>
        <v>3276883.15</v>
      </c>
      <c r="K260" s="16">
        <f>+H260-J260</f>
        <v>0</v>
      </c>
      <c r="M260" s="5">
        <f>+H260-J260</f>
        <v>0</v>
      </c>
    </row>
    <row r="261" spans="2:13" ht="12" customHeight="1" thickTop="1" x14ac:dyDescent="0.25">
      <c r="B261" s="116"/>
      <c r="C261" s="166"/>
      <c r="D261" s="167"/>
      <c r="E261" s="114"/>
      <c r="F261" s="114"/>
      <c r="G261" s="283"/>
      <c r="H261" s="124"/>
      <c r="I261" s="124"/>
      <c r="J261" s="124"/>
    </row>
    <row r="262" spans="2:13" ht="12" customHeight="1" x14ac:dyDescent="0.25">
      <c r="B262" s="116"/>
      <c r="C262" s="166"/>
      <c r="E262" s="114"/>
      <c r="F262" s="114"/>
      <c r="G262" s="283"/>
      <c r="H262" s="124"/>
      <c r="I262" s="124"/>
      <c r="J262" s="124"/>
    </row>
    <row r="263" spans="2:13" ht="12.75" customHeight="1" x14ac:dyDescent="0.25">
      <c r="B263" s="116">
        <v>33</v>
      </c>
      <c r="C263" s="209" t="s">
        <v>79</v>
      </c>
      <c r="D263" s="109" t="s">
        <v>349</v>
      </c>
      <c r="E263" s="409"/>
      <c r="F263" s="91"/>
      <c r="G263" s="91"/>
      <c r="H263" s="364">
        <v>0</v>
      </c>
      <c r="I263" s="91"/>
      <c r="J263" s="91"/>
    </row>
    <row r="264" spans="2:13" ht="12.75" customHeight="1" x14ac:dyDescent="0.25">
      <c r="B264" s="116"/>
      <c r="C264" s="209" t="s">
        <v>0</v>
      </c>
      <c r="D264" s="410" t="s">
        <v>17</v>
      </c>
      <c r="E264" s="91"/>
      <c r="F264" s="91"/>
      <c r="G264" s="133"/>
      <c r="H264" s="156"/>
      <c r="I264" s="156"/>
      <c r="J264" s="156"/>
    </row>
    <row r="265" spans="2:13" ht="17.25" customHeight="1" x14ac:dyDescent="0.25">
      <c r="B265" s="116"/>
      <c r="D265" s="174" t="s">
        <v>2</v>
      </c>
      <c r="E265" s="409"/>
      <c r="F265" s="91"/>
      <c r="G265" s="133"/>
      <c r="H265" s="156"/>
      <c r="I265" s="156"/>
      <c r="J265" s="65">
        <f>+H263</f>
        <v>0</v>
      </c>
    </row>
    <row r="266" spans="2:13" ht="19.5" customHeight="1" thickBot="1" x14ac:dyDescent="0.3">
      <c r="B266" s="116"/>
      <c r="C266" s="166"/>
      <c r="D266" s="858"/>
      <c r="E266" s="858"/>
      <c r="F266" s="858"/>
      <c r="G266" s="117"/>
      <c r="H266" s="149">
        <f>SUM(H263:H265)</f>
        <v>0</v>
      </c>
      <c r="I266" s="119"/>
      <c r="J266" s="149">
        <f>SUM(J263:J265)</f>
        <v>0</v>
      </c>
      <c r="K266" s="16">
        <f>+H266-J266</f>
        <v>0</v>
      </c>
    </row>
    <row r="267" spans="2:13" ht="12" customHeight="1" thickTop="1" x14ac:dyDescent="0.25">
      <c r="B267" s="116"/>
      <c r="C267" s="166"/>
      <c r="D267" s="114"/>
      <c r="F267" s="114"/>
      <c r="G267" s="283"/>
      <c r="H267" s="124"/>
      <c r="I267" s="124"/>
      <c r="J267" s="124"/>
    </row>
    <row r="268" spans="2:13" ht="12" customHeight="1" x14ac:dyDescent="0.25">
      <c r="B268" s="116"/>
      <c r="C268" s="166"/>
      <c r="F268" s="114"/>
      <c r="G268" s="283"/>
      <c r="H268" s="124"/>
      <c r="I268" s="124"/>
      <c r="J268" s="124"/>
    </row>
    <row r="269" spans="2:13" ht="12.75" customHeight="1" x14ac:dyDescent="0.25">
      <c r="B269" s="116">
        <v>34</v>
      </c>
      <c r="D269" s="109" t="s">
        <v>686</v>
      </c>
      <c r="E269" s="26"/>
      <c r="F269" s="26"/>
      <c r="G269" s="26"/>
      <c r="H269" s="7">
        <v>0</v>
      </c>
      <c r="I269" s="26"/>
      <c r="J269" s="26"/>
    </row>
    <row r="270" spans="2:13" ht="12.75" customHeight="1" x14ac:dyDescent="0.25">
      <c r="B270" s="134"/>
      <c r="C270" s="209" t="s">
        <v>0</v>
      </c>
      <c r="D270" s="114" t="s">
        <v>17</v>
      </c>
      <c r="E270" s="26"/>
      <c r="F270" s="26"/>
      <c r="G270" s="117"/>
      <c r="H270" s="121"/>
      <c r="I270" s="121"/>
      <c r="J270" s="121"/>
    </row>
    <row r="271" spans="2:13" ht="12.75" customHeight="1" x14ac:dyDescent="0.25">
      <c r="B271" s="134"/>
      <c r="D271" s="109" t="s">
        <v>24</v>
      </c>
      <c r="E271" s="26"/>
      <c r="F271" s="26"/>
      <c r="G271" s="117"/>
      <c r="H271" s="121"/>
      <c r="J271" s="121">
        <f>+H269</f>
        <v>0</v>
      </c>
    </row>
    <row r="272" spans="2:13" ht="18.75" customHeight="1" thickBot="1" x14ac:dyDescent="0.3">
      <c r="B272" s="134"/>
      <c r="C272" s="166"/>
      <c r="D272" s="858"/>
      <c r="E272" s="858"/>
      <c r="F272" s="858"/>
      <c r="G272" s="283"/>
      <c r="H272" s="150">
        <f>SUM(H269:H271)</f>
        <v>0</v>
      </c>
      <c r="I272" s="198"/>
      <c r="J272" s="150">
        <f>SUM(J269:J271)</f>
        <v>0</v>
      </c>
      <c r="K272" s="16">
        <f>+H272-J272</f>
        <v>0</v>
      </c>
    </row>
    <row r="273" spans="2:13" ht="12" customHeight="1" thickTop="1" x14ac:dyDescent="0.25">
      <c r="B273" s="134"/>
      <c r="C273" s="166"/>
      <c r="D273" s="114"/>
      <c r="E273" s="114"/>
      <c r="F273" s="114"/>
      <c r="G273" s="283"/>
      <c r="H273" s="124"/>
      <c r="I273" s="124"/>
      <c r="J273" s="124"/>
      <c r="K273" s="16"/>
    </row>
    <row r="274" spans="2:13" ht="12" customHeight="1" x14ac:dyDescent="0.25">
      <c r="B274" s="134"/>
      <c r="C274" s="166"/>
      <c r="E274" s="114"/>
      <c r="F274" s="114"/>
      <c r="G274" s="283"/>
      <c r="H274" s="124"/>
      <c r="I274" s="124"/>
      <c r="J274" s="124"/>
    </row>
    <row r="275" spans="2:13" ht="12.75" customHeight="1" x14ac:dyDescent="0.25">
      <c r="B275" s="116">
        <v>35</v>
      </c>
      <c r="D275" s="527" t="s">
        <v>24</v>
      </c>
      <c r="E275" s="526"/>
      <c r="F275" s="526"/>
      <c r="G275" s="526"/>
      <c r="H275" s="408">
        <v>0</v>
      </c>
      <c r="I275" s="526"/>
      <c r="J275" s="526"/>
    </row>
    <row r="276" spans="2:13" ht="12.75" customHeight="1" x14ac:dyDescent="0.25">
      <c r="B276" s="134"/>
      <c r="C276" s="209" t="s">
        <v>0</v>
      </c>
      <c r="D276" s="512" t="s">
        <v>17</v>
      </c>
      <c r="E276" s="526"/>
      <c r="F276" s="526"/>
      <c r="G276" s="400"/>
      <c r="H276" s="411"/>
      <c r="I276" s="411"/>
      <c r="J276" s="411"/>
    </row>
    <row r="277" spans="2:13" ht="12.75" customHeight="1" x14ac:dyDescent="0.25">
      <c r="B277" s="134"/>
      <c r="D277" s="527" t="s">
        <v>813</v>
      </c>
      <c r="E277" s="526"/>
      <c r="F277" s="526"/>
      <c r="G277" s="400"/>
      <c r="H277" s="411"/>
      <c r="I277" s="408"/>
      <c r="J277" s="411">
        <f>+H275</f>
        <v>0</v>
      </c>
    </row>
    <row r="278" spans="2:13" ht="21.75" customHeight="1" thickBot="1" x14ac:dyDescent="0.3">
      <c r="B278" s="134"/>
      <c r="C278" s="166"/>
      <c r="D278" s="859"/>
      <c r="E278" s="859"/>
      <c r="F278" s="859"/>
      <c r="G278" s="283"/>
      <c r="H278" s="552">
        <f>SUM(H275:H277)</f>
        <v>0</v>
      </c>
      <c r="I278" s="198"/>
      <c r="J278" s="553">
        <f>SUM(J275:J277)</f>
        <v>0</v>
      </c>
      <c r="K278" s="16">
        <f>+H278-J278</f>
        <v>0</v>
      </c>
    </row>
    <row r="279" spans="2:13" ht="12" customHeight="1" thickTop="1" x14ac:dyDescent="0.25">
      <c r="B279" s="134"/>
      <c r="C279" s="166"/>
      <c r="D279" s="114"/>
      <c r="E279" s="114"/>
      <c r="F279" s="114"/>
      <c r="G279" s="283"/>
      <c r="H279" s="124"/>
      <c r="I279" s="124"/>
      <c r="J279" s="124"/>
      <c r="M279" s="548"/>
    </row>
    <row r="280" spans="2:13" ht="12" customHeight="1" x14ac:dyDescent="0.25">
      <c r="B280" s="134"/>
      <c r="C280" s="166"/>
      <c r="D280" s="114"/>
      <c r="E280" s="114"/>
      <c r="F280" s="114"/>
      <c r="G280" s="283"/>
      <c r="H280" s="124"/>
      <c r="I280" s="124"/>
      <c r="J280" s="124"/>
    </row>
    <row r="281" spans="2:13" ht="12.75" customHeight="1" x14ac:dyDescent="0.25">
      <c r="B281" s="116">
        <v>36</v>
      </c>
      <c r="C281" s="114" t="s">
        <v>652</v>
      </c>
      <c r="D281" s="114" t="s">
        <v>663</v>
      </c>
      <c r="E281" s="26"/>
      <c r="F281" s="490"/>
      <c r="G281" s="26"/>
      <c r="H281" s="7">
        <v>0</v>
      </c>
      <c r="I281" s="26"/>
      <c r="J281" s="26"/>
      <c r="L281" s="489"/>
      <c r="M281" s="548"/>
    </row>
    <row r="282" spans="2:13" ht="12.75" customHeight="1" x14ac:dyDescent="0.25">
      <c r="B282" s="134"/>
      <c r="C282" s="209" t="s">
        <v>0</v>
      </c>
      <c r="D282" s="145" t="s">
        <v>17</v>
      </c>
      <c r="E282" s="26"/>
      <c r="F282" s="26"/>
      <c r="G282" s="117"/>
      <c r="H282" s="121"/>
      <c r="I282" s="121"/>
      <c r="J282" s="121"/>
      <c r="L282" s="488"/>
    </row>
    <row r="283" spans="2:13" ht="12.75" customHeight="1" x14ac:dyDescent="0.25">
      <c r="B283" s="134"/>
      <c r="D283" s="109" t="s">
        <v>2</v>
      </c>
      <c r="E283" s="26"/>
      <c r="F283" s="26"/>
      <c r="G283" s="117"/>
      <c r="H283" s="121"/>
      <c r="J283" s="121">
        <v>0</v>
      </c>
    </row>
    <row r="284" spans="2:13" ht="19.5" customHeight="1" thickBot="1" x14ac:dyDescent="0.3">
      <c r="B284" s="134"/>
      <c r="C284" s="166"/>
      <c r="D284" s="844"/>
      <c r="E284" s="844"/>
      <c r="F284" s="844"/>
      <c r="G284" s="283"/>
      <c r="H284" s="150">
        <f>SUM(H281:H283)</f>
        <v>0</v>
      </c>
      <c r="I284" s="198"/>
      <c r="J284" s="150">
        <f>SUM(J281:J283)</f>
        <v>0</v>
      </c>
      <c r="K284" s="16">
        <f>+H284-J284</f>
        <v>0</v>
      </c>
    </row>
    <row r="285" spans="2:13" ht="18.75" customHeight="1" thickTop="1" x14ac:dyDescent="0.25">
      <c r="B285" s="134"/>
      <c r="C285" s="166"/>
      <c r="D285" s="114"/>
      <c r="E285" s="114"/>
      <c r="F285" s="114"/>
      <c r="G285" s="283"/>
      <c r="H285" s="124"/>
      <c r="I285" s="124"/>
      <c r="J285" s="124"/>
    </row>
    <row r="286" spans="2:13" ht="18" customHeight="1" x14ac:dyDescent="0.25">
      <c r="B286" s="116">
        <v>37</v>
      </c>
      <c r="C286" s="317">
        <v>2.1</v>
      </c>
      <c r="D286" s="127" t="s">
        <v>390</v>
      </c>
      <c r="E286" s="114"/>
      <c r="F286" s="50">
        <f>+F287+F294+F296+F298+F302+F307</f>
        <v>8171189.6700000009</v>
      </c>
      <c r="G286" s="283"/>
      <c r="H286" s="124"/>
      <c r="I286" s="124"/>
      <c r="J286" s="124"/>
    </row>
    <row r="287" spans="2:13" ht="18" customHeight="1" x14ac:dyDescent="0.25">
      <c r="B287" s="116"/>
      <c r="C287" s="321" t="s">
        <v>123</v>
      </c>
      <c r="D287" s="47" t="s">
        <v>22</v>
      </c>
      <c r="E287" s="26"/>
      <c r="F287" s="50">
        <f>SUM(H288:H293)</f>
        <v>3880659.22</v>
      </c>
      <c r="G287" s="117"/>
      <c r="H287" s="121"/>
      <c r="I287" s="121"/>
      <c r="J287" s="121"/>
    </row>
    <row r="288" spans="2:13" ht="15" customHeight="1" x14ac:dyDescent="0.25">
      <c r="B288" s="116"/>
      <c r="C288" s="166" t="s">
        <v>267</v>
      </c>
      <c r="D288" s="20" t="s">
        <v>271</v>
      </c>
      <c r="E288" s="26"/>
      <c r="F288" s="117"/>
      <c r="G288" s="117"/>
      <c r="H288" s="7">
        <f>+'Pago Mayo'!E9</f>
        <v>1776500</v>
      </c>
      <c r="I288" s="121"/>
      <c r="J288" s="121"/>
    </row>
    <row r="289" spans="2:13" ht="12.75" customHeight="1" x14ac:dyDescent="0.25">
      <c r="B289" s="116"/>
      <c r="C289" s="166" t="s">
        <v>268</v>
      </c>
      <c r="D289" s="20" t="s">
        <v>329</v>
      </c>
      <c r="E289" s="26"/>
      <c r="F289" s="117"/>
      <c r="G289" s="117"/>
      <c r="H289" s="7">
        <f>+'Pago Mayo'!E10</f>
        <v>1522000</v>
      </c>
      <c r="I289" s="121"/>
      <c r="J289" s="121"/>
    </row>
    <row r="290" spans="2:13" ht="12.75" customHeight="1" x14ac:dyDescent="0.25">
      <c r="B290" s="116"/>
      <c r="C290" s="166" t="s">
        <v>614</v>
      </c>
      <c r="D290" s="20" t="s">
        <v>615</v>
      </c>
      <c r="E290" s="26"/>
      <c r="F290" s="117"/>
      <c r="G290" s="117"/>
      <c r="H290" s="7">
        <f>+'Pago Mayo'!E13</f>
        <v>75000</v>
      </c>
      <c r="I290" s="121"/>
      <c r="J290" s="121"/>
    </row>
    <row r="291" spans="2:13" ht="12.75" customHeight="1" x14ac:dyDescent="0.25">
      <c r="B291" s="116"/>
      <c r="C291" s="166" t="s">
        <v>398</v>
      </c>
      <c r="D291" s="20" t="s">
        <v>134</v>
      </c>
      <c r="E291" s="26"/>
      <c r="F291" s="117"/>
      <c r="G291" s="117"/>
      <c r="H291" s="7">
        <f>+'Pago Mayo'!E11</f>
        <v>140000</v>
      </c>
      <c r="I291" s="121"/>
      <c r="J291" s="121"/>
    </row>
    <row r="292" spans="2:13" ht="12.75" customHeight="1" x14ac:dyDescent="0.25">
      <c r="B292" s="116"/>
      <c r="C292" s="166" t="s">
        <v>269</v>
      </c>
      <c r="D292" s="20" t="s">
        <v>135</v>
      </c>
      <c r="E292" s="26"/>
      <c r="F292" s="117"/>
      <c r="G292" s="117"/>
      <c r="H292" s="7">
        <f>+'Pago Mayo'!E12</f>
        <v>332000</v>
      </c>
      <c r="I292" s="121"/>
      <c r="J292" s="121"/>
    </row>
    <row r="293" spans="2:13" ht="12.75" customHeight="1" x14ac:dyDescent="0.25">
      <c r="B293" s="116"/>
      <c r="C293" s="166" t="s">
        <v>270</v>
      </c>
      <c r="D293" s="20" t="s">
        <v>136</v>
      </c>
      <c r="E293" s="26"/>
      <c r="F293" s="26"/>
      <c r="G293" s="117"/>
      <c r="H293" s="7">
        <f>+'Pago Mayo'!M8</f>
        <v>35159.22</v>
      </c>
      <c r="I293" s="121"/>
      <c r="J293" s="121"/>
    </row>
    <row r="294" spans="2:13" ht="12.75" customHeight="1" x14ac:dyDescent="0.25">
      <c r="B294" s="116"/>
      <c r="C294" s="322" t="s">
        <v>230</v>
      </c>
      <c r="D294" s="47" t="s">
        <v>231</v>
      </c>
      <c r="E294" s="26"/>
      <c r="F294" s="50">
        <f>+H295</f>
        <v>425000</v>
      </c>
      <c r="G294" s="117"/>
      <c r="H294" s="408"/>
      <c r="I294" s="121"/>
      <c r="J294" s="121"/>
      <c r="L294" s="385"/>
      <c r="M294" s="3"/>
    </row>
    <row r="295" spans="2:13" ht="12.75" customHeight="1" x14ac:dyDescent="0.25">
      <c r="B295" s="116"/>
      <c r="C295" s="166" t="s">
        <v>230</v>
      </c>
      <c r="D295" s="109" t="s">
        <v>231</v>
      </c>
      <c r="E295" s="26"/>
      <c r="F295" s="49"/>
      <c r="G295" s="117"/>
      <c r="H295" s="7">
        <f>+'Pago Mayo'!E7+'Pago Mayo'!E15</f>
        <v>425000</v>
      </c>
      <c r="I295" s="121"/>
      <c r="J295" s="121"/>
      <c r="L295" s="371"/>
    </row>
    <row r="296" spans="2:13" ht="12" customHeight="1" x14ac:dyDescent="0.25">
      <c r="B296" s="116"/>
      <c r="C296" s="322" t="s">
        <v>282</v>
      </c>
      <c r="D296" s="128" t="s">
        <v>284</v>
      </c>
      <c r="E296" s="26"/>
      <c r="F296" s="50">
        <f>+H297</f>
        <v>0</v>
      </c>
      <c r="G296" s="117"/>
      <c r="H296" s="121"/>
      <c r="I296" s="121"/>
      <c r="J296" s="121"/>
      <c r="L296" s="385"/>
    </row>
    <row r="297" spans="2:13" ht="13.5" customHeight="1" x14ac:dyDescent="0.25">
      <c r="B297" s="116"/>
      <c r="C297" s="166" t="s">
        <v>283</v>
      </c>
      <c r="D297" s="20" t="s">
        <v>284</v>
      </c>
      <c r="E297" s="26"/>
      <c r="F297" s="40"/>
      <c r="G297" s="117"/>
      <c r="H297" s="7">
        <v>0</v>
      </c>
      <c r="I297" s="121"/>
      <c r="J297" s="121"/>
      <c r="L297" s="385"/>
    </row>
    <row r="298" spans="2:13" ht="12" customHeight="1" x14ac:dyDescent="0.25">
      <c r="B298" s="116"/>
      <c r="C298" s="322" t="s">
        <v>264</v>
      </c>
      <c r="D298" s="128" t="s">
        <v>263</v>
      </c>
      <c r="E298" s="26"/>
      <c r="F298" s="50">
        <f>SUM(H299:H301)</f>
        <v>41532.07</v>
      </c>
      <c r="G298" s="117"/>
      <c r="H298" s="121"/>
      <c r="I298" s="121"/>
      <c r="J298" s="121"/>
    </row>
    <row r="299" spans="2:13" ht="12" customHeight="1" x14ac:dyDescent="0.25">
      <c r="B299" s="116"/>
      <c r="C299" s="166" t="s">
        <v>541</v>
      </c>
      <c r="D299" s="109" t="s">
        <v>263</v>
      </c>
      <c r="E299" s="26"/>
      <c r="F299" s="50"/>
      <c r="G299" s="117"/>
      <c r="H299" s="7">
        <v>0</v>
      </c>
      <c r="I299" s="121"/>
      <c r="J299" s="121"/>
    </row>
    <row r="300" spans="2:13" ht="12" customHeight="1" x14ac:dyDescent="0.25">
      <c r="B300" s="116"/>
      <c r="C300" s="166" t="s">
        <v>730</v>
      </c>
      <c r="D300" s="109" t="s">
        <v>734</v>
      </c>
      <c r="E300" s="26"/>
      <c r="F300" s="50"/>
      <c r="G300" s="117"/>
      <c r="H300" s="7">
        <v>0</v>
      </c>
      <c r="I300" s="121"/>
      <c r="J300" s="121"/>
    </row>
    <row r="301" spans="2:13" ht="13.5" customHeight="1" x14ac:dyDescent="0.25">
      <c r="B301" s="116"/>
      <c r="C301" s="166" t="s">
        <v>265</v>
      </c>
      <c r="D301" s="109" t="s">
        <v>253</v>
      </c>
      <c r="E301" s="26"/>
      <c r="F301" s="40"/>
      <c r="G301" s="117"/>
      <c r="H301" s="7">
        <f>+'Pago Mayo'!E14:E14</f>
        <v>41532.07</v>
      </c>
      <c r="I301" s="121"/>
      <c r="J301" s="121"/>
    </row>
    <row r="302" spans="2:13" ht="12" customHeight="1" x14ac:dyDescent="0.25">
      <c r="B302" s="116"/>
      <c r="C302" s="322" t="s">
        <v>277</v>
      </c>
      <c r="D302" s="128" t="s">
        <v>278</v>
      </c>
      <c r="E302" s="26"/>
      <c r="F302" s="50">
        <f>SUM(H304:H306)</f>
        <v>3291583.33</v>
      </c>
      <c r="G302" s="117"/>
      <c r="I302" s="121"/>
      <c r="J302" s="121"/>
    </row>
    <row r="303" spans="2:13" ht="13.5" customHeight="1" x14ac:dyDescent="0.25">
      <c r="B303" s="116"/>
      <c r="C303" s="166" t="s">
        <v>679</v>
      </c>
      <c r="D303" s="20" t="s">
        <v>678</v>
      </c>
      <c r="E303" s="26"/>
      <c r="F303" s="26"/>
      <c r="G303" s="117"/>
      <c r="H303" s="7">
        <v>0</v>
      </c>
      <c r="I303" s="121"/>
      <c r="J303" s="121"/>
    </row>
    <row r="304" spans="2:13" ht="13.5" customHeight="1" x14ac:dyDescent="0.25">
      <c r="B304" s="116"/>
      <c r="C304" s="166" t="s">
        <v>517</v>
      </c>
      <c r="D304" s="20" t="s">
        <v>518</v>
      </c>
      <c r="E304" s="26"/>
      <c r="F304" s="26"/>
      <c r="G304" s="117"/>
      <c r="H304" s="7">
        <f>+'Pago Mayo'!E16</f>
        <v>3291583.33</v>
      </c>
      <c r="I304" s="121"/>
      <c r="J304" s="121"/>
    </row>
    <row r="305" spans="1:14" ht="13.5" customHeight="1" x14ac:dyDescent="0.25">
      <c r="B305" s="116"/>
      <c r="C305" s="166" t="s">
        <v>279</v>
      </c>
      <c r="D305" s="20" t="s">
        <v>280</v>
      </c>
      <c r="E305" s="26"/>
      <c r="F305" s="48"/>
      <c r="G305" s="117"/>
      <c r="H305" s="7">
        <v>0</v>
      </c>
      <c r="I305" s="121"/>
      <c r="J305" s="121"/>
    </row>
    <row r="306" spans="1:14" ht="13.5" customHeight="1" x14ac:dyDescent="0.25">
      <c r="B306" s="116"/>
      <c r="C306" s="166" t="s">
        <v>291</v>
      </c>
      <c r="D306" s="20" t="s">
        <v>550</v>
      </c>
      <c r="E306" s="26"/>
      <c r="F306" s="26"/>
      <c r="G306" s="117"/>
      <c r="H306" s="7">
        <v>0</v>
      </c>
      <c r="I306" s="121"/>
      <c r="J306" s="121"/>
    </row>
    <row r="307" spans="1:14" ht="12.75" customHeight="1" x14ac:dyDescent="0.25">
      <c r="B307" s="116"/>
      <c r="C307" s="321" t="s">
        <v>124</v>
      </c>
      <c r="D307" s="47" t="s">
        <v>23</v>
      </c>
      <c r="E307" s="26"/>
      <c r="F307" s="50">
        <f>SUM(H308:H310)</f>
        <v>532415.05000000005</v>
      </c>
      <c r="G307" s="117"/>
      <c r="H307" s="121"/>
      <c r="I307" s="121"/>
      <c r="J307" s="124"/>
      <c r="K307" s="376"/>
    </row>
    <row r="308" spans="1:14" ht="12.75" customHeight="1" x14ac:dyDescent="0.25">
      <c r="B308" s="116"/>
      <c r="C308" s="166" t="s">
        <v>274</v>
      </c>
      <c r="D308" s="20" t="s">
        <v>138</v>
      </c>
      <c r="E308" s="26"/>
      <c r="F308" s="40"/>
      <c r="G308" s="117"/>
      <c r="H308" s="7">
        <f>+'Pago Mayo'!G17</f>
        <v>248201.76</v>
      </c>
      <c r="I308" s="121"/>
      <c r="J308" s="124"/>
      <c r="K308" s="376"/>
    </row>
    <row r="309" spans="1:14" ht="12.75" customHeight="1" x14ac:dyDescent="0.25">
      <c r="B309" s="116"/>
      <c r="C309" s="166" t="s">
        <v>275</v>
      </c>
      <c r="D309" s="20" t="s">
        <v>272</v>
      </c>
      <c r="E309" s="26"/>
      <c r="F309" s="40"/>
      <c r="G309" s="117"/>
      <c r="H309" s="7">
        <f>+'Pago Mayo'!I17</f>
        <v>249458.5</v>
      </c>
      <c r="I309" s="121"/>
      <c r="J309" s="124"/>
      <c r="K309" s="376"/>
    </row>
    <row r="310" spans="1:14" ht="12.75" customHeight="1" x14ac:dyDescent="0.25">
      <c r="B310" s="116"/>
      <c r="C310" s="166" t="s">
        <v>276</v>
      </c>
      <c r="D310" s="20" t="s">
        <v>273</v>
      </c>
      <c r="E310" s="26"/>
      <c r="F310" s="40"/>
      <c r="G310" s="117"/>
      <c r="H310" s="7">
        <f>+'Pago Mayo'!K17</f>
        <v>34754.789999999994</v>
      </c>
      <c r="I310" s="121"/>
      <c r="J310" s="124"/>
      <c r="K310" s="376"/>
    </row>
    <row r="311" spans="1:14" ht="12.75" customHeight="1" x14ac:dyDescent="0.25">
      <c r="B311" s="116"/>
      <c r="C311" s="166"/>
      <c r="D311" s="109" t="s">
        <v>17</v>
      </c>
      <c r="E311" s="26"/>
      <c r="F311" s="40"/>
      <c r="G311" s="117"/>
      <c r="H311" s="121"/>
      <c r="I311" s="121"/>
      <c r="J311" s="124"/>
      <c r="K311" s="376"/>
    </row>
    <row r="312" spans="1:14" ht="14.25" customHeight="1" x14ac:dyDescent="0.25">
      <c r="A312" t="s">
        <v>0</v>
      </c>
      <c r="B312" s="116"/>
      <c r="D312" s="109" t="s">
        <v>24</v>
      </c>
      <c r="E312" s="26"/>
      <c r="F312" s="26"/>
      <c r="G312" s="117"/>
      <c r="H312" s="121"/>
      <c r="I312" s="121"/>
      <c r="J312" s="7">
        <f>+'Pago Mayo'!M17</f>
        <v>8171189.6699999999</v>
      </c>
      <c r="K312" s="16"/>
      <c r="L312" s="378"/>
    </row>
    <row r="313" spans="1:14" ht="15" x14ac:dyDescent="0.25">
      <c r="B313" s="116"/>
      <c r="D313" s="109" t="s">
        <v>72</v>
      </c>
      <c r="E313" s="26"/>
      <c r="F313" s="26"/>
      <c r="G313" s="117"/>
      <c r="H313" s="126"/>
      <c r="I313" s="121"/>
      <c r="J313" s="7">
        <v>0</v>
      </c>
      <c r="K313" s="16"/>
      <c r="L313" s="378"/>
    </row>
    <row r="314" spans="1:14" ht="53.25" customHeight="1" thickBot="1" x14ac:dyDescent="0.3">
      <c r="B314" s="116"/>
      <c r="C314" s="166"/>
      <c r="D314" s="857" t="s">
        <v>878</v>
      </c>
      <c r="E314" s="857"/>
      <c r="F314" s="857"/>
      <c r="G314" s="117"/>
      <c r="H314" s="149">
        <f>SUM(H288:H313)</f>
        <v>8171189.6700000009</v>
      </c>
      <c r="I314" s="119"/>
      <c r="J314" s="149">
        <f>SUM(J288:J313)</f>
        <v>8171189.6699999999</v>
      </c>
      <c r="K314" s="16">
        <f>+H314-J314</f>
        <v>0</v>
      </c>
      <c r="L314" s="190"/>
      <c r="M314" s="5">
        <f>+H314-J314</f>
        <v>0</v>
      </c>
    </row>
    <row r="315" spans="1:14" ht="12" customHeight="1" thickTop="1" x14ac:dyDescent="0.25">
      <c r="B315" s="116"/>
      <c r="C315" s="166"/>
      <c r="D315" s="20"/>
      <c r="E315" s="26"/>
      <c r="F315" s="40"/>
      <c r="G315" s="117"/>
      <c r="H315" s="121"/>
      <c r="I315" s="121"/>
      <c r="J315" s="124"/>
      <c r="K315" s="376"/>
    </row>
    <row r="316" spans="1:14" ht="12" customHeight="1" x14ac:dyDescent="0.25">
      <c r="B316" s="116"/>
      <c r="C316" s="166"/>
      <c r="D316" s="20"/>
      <c r="E316" s="26"/>
      <c r="F316" s="40"/>
      <c r="G316" s="117"/>
      <c r="H316" s="121"/>
      <c r="I316" s="121"/>
      <c r="J316" s="124"/>
      <c r="K316" s="376"/>
    </row>
    <row r="317" spans="1:14" ht="12.75" customHeight="1" x14ac:dyDescent="0.25">
      <c r="B317" s="116">
        <v>38</v>
      </c>
      <c r="C317" s="317">
        <v>2.2000000000000002</v>
      </c>
      <c r="D317" s="47" t="s">
        <v>176</v>
      </c>
      <c r="E317" s="26"/>
      <c r="F317" s="50">
        <f>+F318+F323+F327+F330+F334+F341+F345+F352+F363</f>
        <v>2693555.5300000003</v>
      </c>
      <c r="G317" s="117"/>
      <c r="H317" s="121"/>
      <c r="I317" s="121"/>
      <c r="J317" s="124"/>
      <c r="K317" s="376"/>
    </row>
    <row r="318" spans="1:14" s="78" customFormat="1" ht="12.75" customHeight="1" x14ac:dyDescent="0.25">
      <c r="B318" s="139"/>
      <c r="C318" s="323" t="s">
        <v>339</v>
      </c>
      <c r="D318" s="79" t="s">
        <v>340</v>
      </c>
      <c r="E318" s="76"/>
      <c r="F318" s="77">
        <f>SUM(H319:H322)</f>
        <v>261093.28</v>
      </c>
      <c r="G318" s="117"/>
      <c r="H318" s="7"/>
      <c r="I318" s="121"/>
      <c r="J318" s="124"/>
      <c r="K318" s="376"/>
      <c r="L318" s="4"/>
      <c r="M318"/>
      <c r="N318" s="226"/>
    </row>
    <row r="319" spans="1:14" ht="12.75" customHeight="1" x14ac:dyDescent="0.25">
      <c r="B319" s="116"/>
      <c r="C319" s="209" t="s">
        <v>199</v>
      </c>
      <c r="D319" s="109" t="s">
        <v>201</v>
      </c>
      <c r="E319" s="26"/>
      <c r="F319" s="42"/>
      <c r="G319" s="117"/>
      <c r="H319" s="551">
        <v>136824.57</v>
      </c>
      <c r="I319" s="121"/>
      <c r="J319" s="121"/>
      <c r="K319" s="376"/>
    </row>
    <row r="320" spans="1:14" ht="12" customHeight="1" x14ac:dyDescent="0.25">
      <c r="B320" s="116"/>
      <c r="C320" s="209" t="s">
        <v>200</v>
      </c>
      <c r="D320" s="109" t="s">
        <v>202</v>
      </c>
      <c r="E320" s="26"/>
      <c r="G320" s="65"/>
      <c r="H320" s="551">
        <f>+'Pago Mayo'!G44+15444</f>
        <v>32698.65</v>
      </c>
      <c r="I320" s="121"/>
      <c r="J320" s="121"/>
      <c r="K320" s="376"/>
      <c r="L320" s="378"/>
    </row>
    <row r="321" spans="2:14" ht="12.75" customHeight="1" x14ac:dyDescent="0.25">
      <c r="B321" s="116"/>
      <c r="C321" s="209" t="s">
        <v>200</v>
      </c>
      <c r="D321" s="109" t="s">
        <v>257</v>
      </c>
      <c r="E321" s="26"/>
      <c r="F321" s="42"/>
      <c r="G321" s="117"/>
      <c r="H321" s="551">
        <v>0</v>
      </c>
      <c r="I321" s="121"/>
      <c r="J321" s="121"/>
    </row>
    <row r="322" spans="2:14" ht="12.75" customHeight="1" x14ac:dyDescent="0.25">
      <c r="B322" s="116"/>
      <c r="C322" s="209" t="s">
        <v>78</v>
      </c>
      <c r="D322" s="109" t="s">
        <v>33</v>
      </c>
      <c r="E322" s="26"/>
      <c r="G322" s="117"/>
      <c r="H322" s="551">
        <f>+'Pago Mayo'!G39</f>
        <v>91570.06</v>
      </c>
      <c r="I322" s="121"/>
      <c r="J322" s="121"/>
      <c r="K322" s="376"/>
    </row>
    <row r="323" spans="2:14" s="78" customFormat="1" ht="12.75" customHeight="1" x14ac:dyDescent="0.25">
      <c r="B323" s="139"/>
      <c r="C323" s="323" t="s">
        <v>341</v>
      </c>
      <c r="D323" s="79" t="s">
        <v>342</v>
      </c>
      <c r="E323" s="76"/>
      <c r="F323" s="80">
        <f>SUM(H324:H326)</f>
        <v>0</v>
      </c>
      <c r="G323" s="117"/>
      <c r="H323" s="121"/>
      <c r="I323" s="121"/>
      <c r="J323" s="121"/>
      <c r="K323" s="31"/>
      <c r="L323" s="4"/>
      <c r="M323"/>
      <c r="N323" s="226"/>
    </row>
    <row r="324" spans="2:14" ht="12.75" customHeight="1" x14ac:dyDescent="0.25">
      <c r="B324" s="116"/>
      <c r="C324" s="209" t="s">
        <v>186</v>
      </c>
      <c r="D324" s="109" t="s">
        <v>189</v>
      </c>
      <c r="E324" s="26"/>
      <c r="F324" s="42"/>
      <c r="G324" s="117"/>
      <c r="H324" s="7">
        <v>0</v>
      </c>
      <c r="I324" s="121"/>
      <c r="J324" s="121"/>
    </row>
    <row r="325" spans="2:14" ht="12.75" customHeight="1" x14ac:dyDescent="0.25">
      <c r="B325" s="116"/>
      <c r="C325" s="209" t="s">
        <v>85</v>
      </c>
      <c r="D325" s="109" t="s">
        <v>212</v>
      </c>
      <c r="E325" s="26"/>
      <c r="F325" s="42"/>
      <c r="G325" s="117"/>
      <c r="H325" s="551">
        <v>0</v>
      </c>
      <c r="I325" s="121"/>
      <c r="J325" s="121"/>
    </row>
    <row r="326" spans="2:14" ht="12.75" customHeight="1" x14ac:dyDescent="0.25">
      <c r="B326" s="116"/>
      <c r="C326" s="209" t="s">
        <v>85</v>
      </c>
      <c r="D326" s="109" t="s">
        <v>238</v>
      </c>
      <c r="E326" s="26"/>
      <c r="F326" s="42"/>
      <c r="G326" s="117"/>
      <c r="H326" s="408">
        <v>0</v>
      </c>
      <c r="I326" s="121"/>
      <c r="J326" s="121"/>
    </row>
    <row r="327" spans="2:14" s="78" customFormat="1" ht="12.75" customHeight="1" x14ac:dyDescent="0.25">
      <c r="B327" s="139"/>
      <c r="C327" s="323" t="s">
        <v>343</v>
      </c>
      <c r="D327" s="79" t="s">
        <v>117</v>
      </c>
      <c r="E327" s="76"/>
      <c r="F327" s="80">
        <f>SUM(H328:H329)</f>
        <v>58860.02</v>
      </c>
      <c r="G327" s="117"/>
      <c r="H327" s="461"/>
      <c r="I327" s="121"/>
      <c r="J327" s="121"/>
      <c r="K327" s="31"/>
      <c r="L327" s="4"/>
      <c r="M327"/>
      <c r="N327" s="226"/>
    </row>
    <row r="328" spans="2:14" ht="12.75" customHeight="1" x14ac:dyDescent="0.25">
      <c r="B328" s="116"/>
      <c r="C328" s="209" t="s">
        <v>119</v>
      </c>
      <c r="D328" s="109" t="s">
        <v>344</v>
      </c>
      <c r="E328" s="26"/>
      <c r="F328" s="42"/>
      <c r="G328" s="117"/>
      <c r="H328" s="7">
        <f>+'Pago Mayo'!G34+'Pago Mayo'!G42</f>
        <v>58860.02</v>
      </c>
      <c r="I328" s="121"/>
      <c r="J328" s="121"/>
    </row>
    <row r="329" spans="2:14" ht="12.75" customHeight="1" x14ac:dyDescent="0.25">
      <c r="B329" s="116"/>
      <c r="C329" s="209" t="s">
        <v>246</v>
      </c>
      <c r="D329" s="109" t="s">
        <v>296</v>
      </c>
      <c r="E329" s="38"/>
      <c r="F329" s="42"/>
      <c r="G329" s="117"/>
      <c r="H329" s="7">
        <v>0</v>
      </c>
      <c r="I329" s="121"/>
      <c r="J329" s="121"/>
    </row>
    <row r="330" spans="2:14" s="78" customFormat="1" ht="12.75" customHeight="1" x14ac:dyDescent="0.25">
      <c r="B330" s="139"/>
      <c r="C330" s="323" t="s">
        <v>345</v>
      </c>
      <c r="D330" s="79" t="s">
        <v>347</v>
      </c>
      <c r="E330" s="76"/>
      <c r="F330" s="80">
        <f>SUM(H331:H332)</f>
        <v>143950.21</v>
      </c>
      <c r="G330" s="117"/>
      <c r="H330" s="461"/>
      <c r="I330" s="121"/>
      <c r="J330" s="121"/>
      <c r="K330" s="31"/>
      <c r="L330" s="4"/>
      <c r="M330"/>
      <c r="N330" s="226"/>
    </row>
    <row r="331" spans="2:14" ht="12.75" customHeight="1" x14ac:dyDescent="0.25">
      <c r="B331" s="116"/>
      <c r="C331" s="209" t="s">
        <v>203</v>
      </c>
      <c r="D331" s="109" t="s">
        <v>297</v>
      </c>
      <c r="E331" s="26"/>
      <c r="F331" s="42"/>
      <c r="G331" s="117"/>
      <c r="H331" s="408">
        <f>+'Pago Mayo'!G49</f>
        <v>143950.21</v>
      </c>
      <c r="I331" s="121"/>
      <c r="J331" s="121"/>
    </row>
    <row r="332" spans="2:14" ht="12.75" customHeight="1" x14ac:dyDescent="0.25">
      <c r="B332" s="116"/>
      <c r="C332" s="209" t="s">
        <v>20</v>
      </c>
      <c r="D332" s="109" t="s">
        <v>298</v>
      </c>
      <c r="E332" s="26"/>
      <c r="F332" s="42"/>
      <c r="G332" s="117"/>
      <c r="H332" s="408">
        <v>0</v>
      </c>
      <c r="I332" s="121"/>
      <c r="J332" s="121"/>
    </row>
    <row r="333" spans="2:14" s="78" customFormat="1" ht="12.75" customHeight="1" x14ac:dyDescent="0.25">
      <c r="B333" s="139"/>
      <c r="C333" s="323" t="s">
        <v>346</v>
      </c>
      <c r="D333" s="79" t="s">
        <v>348</v>
      </c>
      <c r="E333" s="76"/>
      <c r="F333" s="80">
        <f>+F334+F339</f>
        <v>1017035.27</v>
      </c>
      <c r="G333" s="117"/>
      <c r="H333" s="461"/>
      <c r="I333" s="121"/>
      <c r="J333" s="121"/>
      <c r="K333" s="31"/>
      <c r="L333" s="4"/>
      <c r="M333"/>
      <c r="N333" s="226"/>
    </row>
    <row r="334" spans="2:14" s="78" customFormat="1" ht="12.75" customHeight="1" x14ac:dyDescent="0.25">
      <c r="B334" s="139"/>
      <c r="C334" s="323" t="s">
        <v>586</v>
      </c>
      <c r="D334" s="79" t="s">
        <v>348</v>
      </c>
      <c r="E334" s="76"/>
      <c r="F334" s="80">
        <f>SUM(H335:H338)</f>
        <v>1017035.27</v>
      </c>
      <c r="G334" s="117"/>
      <c r="H334" s="461"/>
      <c r="I334" s="121"/>
      <c r="J334" s="121"/>
      <c r="K334" s="31"/>
      <c r="L334" s="4"/>
      <c r="M334"/>
      <c r="N334" s="226"/>
    </row>
    <row r="335" spans="2:14" ht="12.75" customHeight="1" x14ac:dyDescent="0.25">
      <c r="B335" s="116"/>
      <c r="C335" s="209" t="s">
        <v>79</v>
      </c>
      <c r="D335" s="109" t="s">
        <v>349</v>
      </c>
      <c r="E335" s="26"/>
      <c r="F335" s="117"/>
      <c r="G335" s="117"/>
      <c r="H335" s="717">
        <f>+'CXP 5'!E21+'CXP 5'!E22+'Pago Mayo'!G41</f>
        <v>994851.27</v>
      </c>
      <c r="I335" s="121"/>
      <c r="J335" s="121"/>
      <c r="L335" s="121"/>
    </row>
    <row r="336" spans="2:14" ht="12.75" customHeight="1" x14ac:dyDescent="0.25">
      <c r="B336" s="116"/>
      <c r="C336" s="209" t="s">
        <v>96</v>
      </c>
      <c r="D336" s="109" t="s">
        <v>34</v>
      </c>
      <c r="E336" s="26"/>
      <c r="F336" s="42"/>
      <c r="G336" s="117"/>
      <c r="H336" s="408">
        <v>0</v>
      </c>
      <c r="I336" s="121"/>
      <c r="J336" s="121"/>
    </row>
    <row r="337" spans="1:14" ht="12.75" customHeight="1" x14ac:dyDescent="0.25">
      <c r="B337" s="116"/>
      <c r="C337" s="209" t="s">
        <v>617</v>
      </c>
      <c r="D337" s="109" t="s">
        <v>618</v>
      </c>
      <c r="E337" s="26"/>
      <c r="F337" s="42"/>
      <c r="G337" s="117"/>
      <c r="H337" s="408">
        <f>+'Pago Mayo'!G36</f>
        <v>22184</v>
      </c>
      <c r="I337" s="121"/>
      <c r="J337" s="121"/>
    </row>
    <row r="338" spans="1:14" ht="12.75" customHeight="1" x14ac:dyDescent="0.25">
      <c r="B338" s="116"/>
      <c r="C338" s="209" t="s">
        <v>338</v>
      </c>
      <c r="D338" s="109" t="s">
        <v>147</v>
      </c>
      <c r="E338" s="26"/>
      <c r="F338" s="42"/>
      <c r="G338" s="117"/>
      <c r="H338" s="408">
        <v>0</v>
      </c>
      <c r="I338" s="121"/>
      <c r="J338" s="121"/>
    </row>
    <row r="339" spans="1:14" s="78" customFormat="1" ht="12.75" customHeight="1" x14ac:dyDescent="0.25">
      <c r="B339" s="139"/>
      <c r="C339" s="323" t="s">
        <v>584</v>
      </c>
      <c r="D339" s="79" t="s">
        <v>583</v>
      </c>
      <c r="E339" s="76"/>
      <c r="F339" s="80">
        <f>SUM(H340)</f>
        <v>0</v>
      </c>
      <c r="G339" s="117"/>
      <c r="H339" s="461"/>
      <c r="I339" s="121"/>
      <c r="J339" s="121"/>
      <c r="K339" s="31"/>
      <c r="L339" s="4"/>
      <c r="M339"/>
      <c r="N339" s="226"/>
    </row>
    <row r="340" spans="1:14" ht="12.75" customHeight="1" x14ac:dyDescent="0.25">
      <c r="B340" s="116"/>
      <c r="C340" s="317" t="s">
        <v>674</v>
      </c>
      <c r="D340" s="109" t="s">
        <v>585</v>
      </c>
      <c r="E340" s="26"/>
      <c r="F340" s="42"/>
      <c r="G340" s="117"/>
      <c r="H340" s="408">
        <v>0</v>
      </c>
      <c r="I340" s="121"/>
      <c r="J340" s="121"/>
    </row>
    <row r="341" spans="1:14" s="78" customFormat="1" ht="12.75" customHeight="1" x14ac:dyDescent="0.25">
      <c r="B341" s="139"/>
      <c r="C341" s="323" t="s">
        <v>350</v>
      </c>
      <c r="D341" s="79" t="s">
        <v>351</v>
      </c>
      <c r="E341" s="76"/>
      <c r="F341" s="80">
        <f>SUM(H343:H343)</f>
        <v>146626.21</v>
      </c>
      <c r="G341" s="117"/>
      <c r="H341" s="411"/>
      <c r="I341" s="121"/>
      <c r="J341" s="121"/>
      <c r="K341" s="31"/>
      <c r="L341" s="4"/>
      <c r="M341"/>
      <c r="N341" s="226"/>
    </row>
    <row r="342" spans="1:14" ht="12.75" customHeight="1" x14ac:dyDescent="0.25">
      <c r="B342" s="116"/>
      <c r="C342" s="209" t="s">
        <v>287</v>
      </c>
      <c r="D342" s="109" t="s">
        <v>237</v>
      </c>
      <c r="E342" s="26"/>
      <c r="F342" s="42"/>
      <c r="G342" s="117"/>
      <c r="H342" s="408">
        <v>0</v>
      </c>
      <c r="I342" s="121"/>
    </row>
    <row r="343" spans="1:14" ht="12.75" customHeight="1" x14ac:dyDescent="0.25">
      <c r="B343" s="116"/>
      <c r="C343" s="209" t="s">
        <v>80</v>
      </c>
      <c r="D343" s="109" t="s">
        <v>65</v>
      </c>
      <c r="E343" s="26"/>
      <c r="F343" s="117"/>
      <c r="G343" s="117"/>
      <c r="H343" s="7">
        <f>+'Pago Mayo'!G33+'Pago Mayo'!G50+'CXP 5'!E23</f>
        <v>146626.21</v>
      </c>
      <c r="I343" s="121"/>
      <c r="J343" s="121"/>
      <c r="K343" s="121"/>
    </row>
    <row r="344" spans="1:14" ht="12.75" customHeight="1" x14ac:dyDescent="0.25">
      <c r="B344" s="116"/>
      <c r="C344" s="209" t="s">
        <v>533</v>
      </c>
      <c r="D344" s="109" t="s">
        <v>552</v>
      </c>
      <c r="E344" s="26"/>
      <c r="F344" s="117"/>
      <c r="G344" s="117"/>
      <c r="H344" s="408">
        <v>0</v>
      </c>
      <c r="I344" s="121"/>
      <c r="J344" s="121"/>
    </row>
    <row r="345" spans="1:14" s="78" customFormat="1" ht="24" customHeight="1" x14ac:dyDescent="0.25">
      <c r="B345" s="139"/>
      <c r="C345" s="323" t="s">
        <v>352</v>
      </c>
      <c r="D345" s="855" t="s">
        <v>353</v>
      </c>
      <c r="E345" s="855"/>
      <c r="F345" s="80">
        <f>SUM(H347:H351)</f>
        <v>67457.179999999993</v>
      </c>
      <c r="G345" s="117"/>
      <c r="H345" s="408"/>
      <c r="I345" s="121"/>
      <c r="J345" s="121"/>
      <c r="K345" s="31"/>
      <c r="L345" s="4"/>
      <c r="M345"/>
      <c r="N345" s="226"/>
    </row>
    <row r="346" spans="1:14" s="78" customFormat="1" ht="12.75" customHeight="1" x14ac:dyDescent="0.25">
      <c r="A346" s="127"/>
      <c r="B346" s="127"/>
      <c r="C346" s="316" t="s">
        <v>531</v>
      </c>
      <c r="D346" s="109" t="s">
        <v>538</v>
      </c>
      <c r="E346" s="127"/>
      <c r="F346" s="127"/>
      <c r="G346" s="127"/>
      <c r="H346" s="408">
        <v>0</v>
      </c>
      <c r="I346" s="121"/>
      <c r="J346" s="121"/>
      <c r="K346" s="31"/>
      <c r="L346" s="4"/>
      <c r="M346"/>
      <c r="N346" s="226"/>
    </row>
    <row r="347" spans="1:14" ht="12.75" customHeight="1" x14ac:dyDescent="0.25">
      <c r="B347" s="116"/>
      <c r="C347" s="209" t="s">
        <v>294</v>
      </c>
      <c r="D347" s="109" t="s">
        <v>331</v>
      </c>
      <c r="E347" s="127"/>
      <c r="F347" s="127"/>
      <c r="G347" s="117"/>
      <c r="H347" s="408">
        <v>0</v>
      </c>
      <c r="I347" s="121"/>
      <c r="J347" s="121"/>
    </row>
    <row r="348" spans="1:14" ht="12.75" customHeight="1" x14ac:dyDescent="0.25">
      <c r="B348" s="116"/>
      <c r="C348" s="209" t="s">
        <v>260</v>
      </c>
      <c r="D348" s="109" t="s">
        <v>332</v>
      </c>
      <c r="E348" s="26"/>
      <c r="F348" s="42"/>
      <c r="G348" s="117"/>
      <c r="H348" s="408">
        <v>0</v>
      </c>
      <c r="I348" s="121"/>
      <c r="J348" s="121"/>
    </row>
    <row r="349" spans="1:14" ht="12.75" customHeight="1" x14ac:dyDescent="0.25">
      <c r="B349" s="116"/>
      <c r="C349" s="209" t="s">
        <v>32</v>
      </c>
      <c r="D349" s="109" t="s">
        <v>355</v>
      </c>
      <c r="E349" s="26"/>
      <c r="F349" s="42"/>
      <c r="G349" s="117"/>
      <c r="H349" s="7">
        <f>+'CXP 5'!E25</f>
        <v>63197.38</v>
      </c>
      <c r="I349" s="121"/>
      <c r="J349" s="121"/>
    </row>
    <row r="350" spans="1:14" ht="12.75" customHeight="1" x14ac:dyDescent="0.25">
      <c r="B350" s="116"/>
      <c r="C350" s="209" t="s">
        <v>621</v>
      </c>
      <c r="D350" s="109" t="s">
        <v>623</v>
      </c>
      <c r="E350" s="26"/>
      <c r="F350" s="42"/>
      <c r="G350" s="117"/>
      <c r="H350" s="408">
        <v>0</v>
      </c>
      <c r="I350" s="121"/>
      <c r="J350" s="121"/>
    </row>
    <row r="351" spans="1:14" ht="12.75" customHeight="1" x14ac:dyDescent="0.25">
      <c r="B351" s="116"/>
      <c r="C351" s="209" t="s">
        <v>164</v>
      </c>
      <c r="D351" s="109" t="s">
        <v>165</v>
      </c>
      <c r="E351" s="26"/>
      <c r="F351" s="42"/>
      <c r="G351" s="117"/>
      <c r="H351" s="408">
        <f>+'Pago Mayo'!G53</f>
        <v>4259.8</v>
      </c>
      <c r="I351" s="121"/>
      <c r="J351" s="121"/>
    </row>
    <row r="352" spans="1:14" s="78" customFormat="1" ht="12.75" customHeight="1" x14ac:dyDescent="0.25">
      <c r="B352" s="139"/>
      <c r="C352" s="323" t="s">
        <v>354</v>
      </c>
      <c r="D352" s="129" t="s">
        <v>356</v>
      </c>
      <c r="E352" s="76"/>
      <c r="F352" s="80">
        <f>SUM(H353:H361)</f>
        <v>703908.6</v>
      </c>
      <c r="G352" s="117"/>
      <c r="H352" s="411"/>
      <c r="I352" s="121"/>
      <c r="J352" s="121"/>
      <c r="K352" s="31"/>
      <c r="L352" s="4"/>
      <c r="M352"/>
      <c r="N352" s="226"/>
    </row>
    <row r="353" spans="2:15" ht="12.75" customHeight="1" x14ac:dyDescent="0.25">
      <c r="B353" s="116"/>
      <c r="C353" s="209" t="s">
        <v>198</v>
      </c>
      <c r="D353" s="109" t="s">
        <v>197</v>
      </c>
      <c r="E353" s="26"/>
      <c r="F353" s="42"/>
      <c r="G353" s="117"/>
      <c r="H353" s="408">
        <v>0</v>
      </c>
      <c r="I353" s="121"/>
      <c r="J353" s="121"/>
    </row>
    <row r="354" spans="2:15" ht="12.75" customHeight="1" x14ac:dyDescent="0.25">
      <c r="B354" s="116"/>
      <c r="C354" s="209" t="s">
        <v>115</v>
      </c>
      <c r="D354" s="109" t="s">
        <v>116</v>
      </c>
      <c r="E354" s="26"/>
      <c r="F354" s="42"/>
      <c r="G354" s="117"/>
      <c r="H354" s="408">
        <v>0</v>
      </c>
      <c r="I354" s="121"/>
      <c r="J354" s="121"/>
    </row>
    <row r="355" spans="2:15" ht="12.75" customHeight="1" x14ac:dyDescent="0.25">
      <c r="B355" s="116"/>
      <c r="C355" s="209" t="s">
        <v>642</v>
      </c>
      <c r="D355" s="109" t="s">
        <v>643</v>
      </c>
      <c r="E355" s="26"/>
      <c r="F355" s="42"/>
      <c r="G355" s="117"/>
      <c r="H355" s="408">
        <v>0</v>
      </c>
      <c r="I355" s="121"/>
      <c r="J355" s="121"/>
    </row>
    <row r="356" spans="2:15" ht="12.75" customHeight="1" x14ac:dyDescent="0.25">
      <c r="B356" s="116"/>
      <c r="C356" s="209" t="s">
        <v>295</v>
      </c>
      <c r="D356" s="109" t="s">
        <v>391</v>
      </c>
      <c r="E356" s="26"/>
      <c r="F356" s="42"/>
      <c r="G356" s="117"/>
      <c r="H356" s="7">
        <v>0</v>
      </c>
      <c r="I356" s="121"/>
      <c r="J356" s="121"/>
    </row>
    <row r="357" spans="2:15" ht="12.75" customHeight="1" x14ac:dyDescent="0.25">
      <c r="B357" s="116"/>
      <c r="C357" s="209" t="s">
        <v>544</v>
      </c>
      <c r="D357" s="109" t="s">
        <v>549</v>
      </c>
      <c r="E357" s="26"/>
      <c r="F357" s="42"/>
      <c r="G357" s="117"/>
      <c r="H357" s="408">
        <f>+'Pago Mayo'!G47</f>
        <v>12744</v>
      </c>
      <c r="I357" s="121"/>
      <c r="J357" s="121"/>
    </row>
    <row r="358" spans="2:15" ht="12.75" customHeight="1" x14ac:dyDescent="0.25">
      <c r="B358" s="116"/>
      <c r="C358" s="209" t="s">
        <v>187</v>
      </c>
      <c r="D358" s="109" t="s">
        <v>188</v>
      </c>
      <c r="E358" s="26"/>
      <c r="F358" s="42"/>
      <c r="G358" s="117"/>
      <c r="H358" s="7">
        <f>+'Pago Mayo'!G52</f>
        <v>100000</v>
      </c>
      <c r="I358" s="121"/>
      <c r="J358" s="121"/>
      <c r="K358" s="281"/>
    </row>
    <row r="359" spans="2:15" ht="12.75" customHeight="1" x14ac:dyDescent="0.25">
      <c r="B359" s="116"/>
      <c r="C359" s="209" t="s">
        <v>229</v>
      </c>
      <c r="D359" s="109" t="s">
        <v>233</v>
      </c>
      <c r="E359" s="26"/>
      <c r="F359" s="42"/>
      <c r="G359" s="117"/>
      <c r="H359" s="7">
        <v>0</v>
      </c>
      <c r="I359" s="121"/>
      <c r="J359" s="121"/>
    </row>
    <row r="360" spans="2:15" ht="12.75" customHeight="1" x14ac:dyDescent="0.25">
      <c r="B360" s="116"/>
      <c r="C360" s="209" t="s">
        <v>293</v>
      </c>
      <c r="D360" s="109" t="s">
        <v>333</v>
      </c>
      <c r="E360" s="26"/>
      <c r="F360" s="42"/>
      <c r="G360" s="117"/>
      <c r="H360" s="7">
        <f>+'Pago Mayo'!G51</f>
        <v>279125</v>
      </c>
      <c r="I360" s="121"/>
      <c r="J360" s="121"/>
    </row>
    <row r="361" spans="2:15" ht="12.75" customHeight="1" x14ac:dyDescent="0.25">
      <c r="B361" s="116"/>
      <c r="C361" s="209" t="s">
        <v>259</v>
      </c>
      <c r="D361" s="109" t="s">
        <v>107</v>
      </c>
      <c r="E361" s="26"/>
      <c r="F361" s="42"/>
      <c r="G361" s="117"/>
      <c r="H361" s="7">
        <f>+'Pago Mayo'!G46+'CXP 5'!E24+'CXP 5'!E26</f>
        <v>312039.59999999998</v>
      </c>
      <c r="I361" s="121"/>
      <c r="J361" s="156"/>
      <c r="K361" s="377"/>
      <c r="L361" s="385"/>
      <c r="M361" s="386"/>
      <c r="N361" s="36"/>
      <c r="O361" s="5"/>
    </row>
    <row r="362" spans="2:15" ht="12.75" customHeight="1" x14ac:dyDescent="0.25">
      <c r="B362" s="116"/>
      <c r="C362" s="209" t="s">
        <v>210</v>
      </c>
      <c r="D362" s="109" t="s">
        <v>211</v>
      </c>
      <c r="E362" s="26"/>
      <c r="F362" s="42"/>
      <c r="G362" s="117"/>
      <c r="H362" s="408">
        <v>0</v>
      </c>
      <c r="I362" s="121"/>
      <c r="J362" s="121"/>
      <c r="K362" s="281"/>
      <c r="L362" s="371"/>
      <c r="M362" s="2"/>
    </row>
    <row r="363" spans="2:15" s="78" customFormat="1" ht="12.75" customHeight="1" x14ac:dyDescent="0.25">
      <c r="B363" s="139"/>
      <c r="C363" s="323" t="s">
        <v>357</v>
      </c>
      <c r="D363" s="129" t="s">
        <v>358</v>
      </c>
      <c r="E363" s="76"/>
      <c r="F363" s="80">
        <f>SUM(H364:H367)</f>
        <v>294624.76</v>
      </c>
      <c r="G363" s="117"/>
      <c r="H363" s="408"/>
      <c r="I363" s="121"/>
      <c r="J363" s="121"/>
      <c r="K363" s="31"/>
      <c r="L363" s="4"/>
      <c r="M363"/>
      <c r="N363" s="226"/>
    </row>
    <row r="364" spans="2:15" ht="12.75" customHeight="1" x14ac:dyDescent="0.25">
      <c r="B364" s="116"/>
      <c r="C364" s="209" t="s">
        <v>227</v>
      </c>
      <c r="D364" s="109" t="s">
        <v>234</v>
      </c>
      <c r="E364" s="26"/>
      <c r="F364" s="42"/>
      <c r="G364" s="117"/>
      <c r="H364" s="7">
        <v>0</v>
      </c>
      <c r="I364" s="121"/>
      <c r="J364" s="121"/>
    </row>
    <row r="365" spans="2:15" ht="12.75" customHeight="1" x14ac:dyDescent="0.25">
      <c r="B365" s="116"/>
      <c r="C365" s="209" t="s">
        <v>21</v>
      </c>
      <c r="D365" s="109" t="s">
        <v>25</v>
      </c>
      <c r="E365" s="26"/>
      <c r="F365" s="117"/>
      <c r="G365" s="117"/>
      <c r="H365" s="7">
        <f>+'Pago Mayo'!G40</f>
        <v>294624.76</v>
      </c>
      <c r="I365" s="121"/>
      <c r="J365" s="121"/>
    </row>
    <row r="366" spans="2:15" ht="12.75" customHeight="1" x14ac:dyDescent="0.25">
      <c r="B366" s="116"/>
      <c r="C366" s="209" t="s">
        <v>670</v>
      </c>
      <c r="D366" s="109" t="s">
        <v>25</v>
      </c>
      <c r="E366" s="26"/>
      <c r="F366" s="117"/>
      <c r="G366" s="117"/>
      <c r="H366" s="7">
        <v>0</v>
      </c>
      <c r="I366" s="121"/>
      <c r="J366" s="121"/>
    </row>
    <row r="367" spans="2:15" ht="12.75" customHeight="1" x14ac:dyDescent="0.25">
      <c r="B367" s="116"/>
      <c r="D367" s="81" t="s">
        <v>17</v>
      </c>
      <c r="E367" s="26"/>
      <c r="F367" s="42"/>
      <c r="G367" s="117"/>
      <c r="H367" s="408">
        <v>0</v>
      </c>
      <c r="I367" s="121"/>
      <c r="J367" s="121"/>
    </row>
    <row r="368" spans="2:15" ht="12.75" customHeight="1" x14ac:dyDescent="0.25">
      <c r="B368" s="116"/>
      <c r="D368" s="109" t="s">
        <v>24</v>
      </c>
      <c r="E368" s="26"/>
      <c r="F368" s="42"/>
      <c r="G368" s="117"/>
      <c r="H368" s="408"/>
      <c r="I368" s="121"/>
      <c r="J368" s="408">
        <f>+'Pago Mayo'!E64-'Pago Mayo'!G24-'Pago Mayo'!G25-'Pago Mayo'!G26-'Pago Mayo'!G27-'Pago Mayo'!G29-'Pago Mayo'!G46</f>
        <v>1381537.01</v>
      </c>
      <c r="K368" s="370"/>
      <c r="M368" s="5"/>
    </row>
    <row r="369" spans="2:14" ht="12.75" customHeight="1" x14ac:dyDescent="0.25">
      <c r="B369" s="116"/>
      <c r="D369" s="109" t="s">
        <v>262</v>
      </c>
      <c r="E369" s="26"/>
      <c r="F369" s="42"/>
      <c r="G369" s="117"/>
      <c r="I369" s="121"/>
      <c r="J369" s="408">
        <f>+'Pago Mayo'!G46</f>
        <v>235575.6</v>
      </c>
      <c r="K369" s="387"/>
      <c r="M369" s="5"/>
    </row>
    <row r="370" spans="2:14" ht="12.75" customHeight="1" x14ac:dyDescent="0.25">
      <c r="B370" s="116"/>
      <c r="D370" s="109" t="s">
        <v>2</v>
      </c>
      <c r="E370" s="26"/>
      <c r="F370" s="42"/>
      <c r="G370" s="117"/>
      <c r="I370" s="121"/>
      <c r="J370" s="408">
        <f>+'CXP 5'!E21+'CXP 5'!E22+'CXP 5'!E24+'CXP 5'!E26+'CXP 5'!E23+'CXP 5'!E25</f>
        <v>1076442.92</v>
      </c>
      <c r="K370" s="16"/>
      <c r="L370" s="378"/>
    </row>
    <row r="371" spans="2:14" ht="24.75" customHeight="1" thickBot="1" x14ac:dyDescent="0.3">
      <c r="B371" s="116"/>
      <c r="D371" s="851" t="s">
        <v>823</v>
      </c>
      <c r="E371" s="851"/>
      <c r="F371" s="851"/>
      <c r="G371" s="117"/>
      <c r="H371" s="146">
        <f>SUM(H319:H370)</f>
        <v>2693555.5300000003</v>
      </c>
      <c r="I371" s="121"/>
      <c r="J371" s="146">
        <f>SUM(J368:J370)</f>
        <v>2693555.5300000003</v>
      </c>
      <c r="K371" s="16">
        <f>J371-H371</f>
        <v>0</v>
      </c>
      <c r="L371" s="378"/>
      <c r="M371" s="35">
        <f>+H371-J371</f>
        <v>0</v>
      </c>
    </row>
    <row r="372" spans="2:14" ht="12.75" customHeight="1" thickTop="1" x14ac:dyDescent="0.25">
      <c r="B372" s="116"/>
      <c r="D372" s="109"/>
      <c r="E372" s="26"/>
      <c r="F372" s="42"/>
      <c r="G372" s="117"/>
      <c r="H372" s="325"/>
      <c r="I372" s="121"/>
      <c r="J372" s="121"/>
      <c r="K372" s="16"/>
    </row>
    <row r="373" spans="2:14" ht="13.5" customHeight="1" x14ac:dyDescent="0.25">
      <c r="B373" s="116"/>
      <c r="D373" s="109"/>
      <c r="E373" s="26"/>
      <c r="F373" s="42"/>
      <c r="G373" s="117"/>
      <c r="H373" s="325"/>
      <c r="I373" s="121"/>
      <c r="J373" s="121"/>
      <c r="K373" s="16"/>
    </row>
    <row r="374" spans="2:14" ht="12.75" customHeight="1" x14ac:dyDescent="0.25">
      <c r="B374" s="116">
        <v>39</v>
      </c>
      <c r="C374" s="317">
        <v>2.2999999999999998</v>
      </c>
      <c r="D374" s="47" t="s">
        <v>178</v>
      </c>
      <c r="E374" s="26"/>
      <c r="F374" s="50">
        <f>+F375+F380+F383+F388+F390+F392+F397</f>
        <v>33453</v>
      </c>
      <c r="G374" s="117"/>
      <c r="H374" s="121"/>
      <c r="I374" s="121"/>
      <c r="J374" s="121"/>
      <c r="K374" s="388"/>
    </row>
    <row r="375" spans="2:14" s="78" customFormat="1" ht="12.75" customHeight="1" x14ac:dyDescent="0.25">
      <c r="B375" s="139"/>
      <c r="C375" s="323" t="s">
        <v>359</v>
      </c>
      <c r="D375" s="129" t="s">
        <v>365</v>
      </c>
      <c r="E375" s="76"/>
      <c r="F375" s="77">
        <f>SUM(H376:H380)</f>
        <v>17582</v>
      </c>
      <c r="G375" s="117"/>
      <c r="H375" s="121"/>
      <c r="I375" s="121"/>
      <c r="J375" s="121"/>
      <c r="K375" s="388"/>
      <c r="L375" s="4"/>
      <c r="M375"/>
      <c r="N375" s="226"/>
    </row>
    <row r="376" spans="2:14" ht="12.75" customHeight="1" x14ac:dyDescent="0.25">
      <c r="B376" s="116"/>
      <c r="C376" s="316" t="s">
        <v>66</v>
      </c>
      <c r="D376" s="109" t="s">
        <v>25</v>
      </c>
      <c r="E376" s="26"/>
      <c r="F376" s="42"/>
      <c r="G376" s="117"/>
      <c r="H376" s="7">
        <v>0</v>
      </c>
      <c r="I376" s="121"/>
      <c r="J376" s="121"/>
    </row>
    <row r="377" spans="2:14" ht="12.75" customHeight="1" x14ac:dyDescent="0.25">
      <c r="B377" s="116"/>
      <c r="C377" s="316" t="s">
        <v>66</v>
      </c>
      <c r="D377" s="109" t="s">
        <v>636</v>
      </c>
      <c r="E377" s="26"/>
      <c r="F377" s="42"/>
      <c r="G377" s="117"/>
      <c r="H377" s="254">
        <v>0</v>
      </c>
      <c r="I377" s="121"/>
      <c r="J377" s="121"/>
    </row>
    <row r="378" spans="2:14" ht="12.75" customHeight="1" x14ac:dyDescent="0.25">
      <c r="B378" s="116"/>
      <c r="C378" s="316" t="s">
        <v>292</v>
      </c>
      <c r="D378" s="109" t="s">
        <v>301</v>
      </c>
      <c r="E378" s="26"/>
      <c r="F378" s="42"/>
      <c r="G378" s="117"/>
      <c r="H378" s="7">
        <v>0</v>
      </c>
      <c r="I378" s="121"/>
      <c r="J378" s="121"/>
    </row>
    <row r="379" spans="2:14" ht="12.75" customHeight="1" x14ac:dyDescent="0.25">
      <c r="B379"/>
      <c r="C379" s="316" t="s">
        <v>524</v>
      </c>
      <c r="D379" s="109" t="s">
        <v>527</v>
      </c>
      <c r="E379" s="26"/>
      <c r="F379" s="42"/>
      <c r="H379" s="7">
        <f>+'Pago Mayo'!G35+'Pago Mayo'!G48</f>
        <v>17582</v>
      </c>
      <c r="J379" s="142"/>
      <c r="K379" s="370"/>
    </row>
    <row r="380" spans="2:14" s="78" customFormat="1" ht="12.75" customHeight="1" x14ac:dyDescent="0.25">
      <c r="B380" s="139"/>
      <c r="C380" s="324" t="s">
        <v>360</v>
      </c>
      <c r="D380" s="129" t="s">
        <v>366</v>
      </c>
      <c r="E380" s="76"/>
      <c r="F380" s="80">
        <f>SUM(H381:H382)</f>
        <v>13688</v>
      </c>
      <c r="G380" s="117"/>
      <c r="H380" s="7"/>
      <c r="I380" s="121"/>
      <c r="J380" s="121"/>
      <c r="K380" s="31"/>
      <c r="L380" s="4"/>
      <c r="M380"/>
      <c r="N380" s="226"/>
    </row>
    <row r="381" spans="2:14" ht="12.75" customHeight="1" x14ac:dyDescent="0.25">
      <c r="B381" s="116"/>
      <c r="C381" s="316" t="s">
        <v>532</v>
      </c>
      <c r="D381" s="109" t="s">
        <v>665</v>
      </c>
      <c r="E381" s="26"/>
      <c r="F381" s="42"/>
      <c r="G381" s="117"/>
      <c r="H381" s="254">
        <f>+'Pago Mayo'!G43</f>
        <v>13688</v>
      </c>
      <c r="I381" s="121"/>
      <c r="J381" s="121"/>
      <c r="K381" s="16"/>
    </row>
    <row r="382" spans="2:14" ht="12.75" customHeight="1" x14ac:dyDescent="0.25">
      <c r="B382" s="116"/>
      <c r="C382" s="316" t="s">
        <v>239</v>
      </c>
      <c r="D382" s="109" t="s">
        <v>528</v>
      </c>
      <c r="E382" s="26"/>
      <c r="F382" s="42"/>
      <c r="G382" s="117"/>
      <c r="H382" s="7">
        <v>0</v>
      </c>
      <c r="I382" s="121"/>
      <c r="J382" s="121"/>
      <c r="K382" s="16"/>
    </row>
    <row r="383" spans="2:14" s="78" customFormat="1" ht="12.75" customHeight="1" x14ac:dyDescent="0.25">
      <c r="B383" s="139"/>
      <c r="C383" s="324" t="s">
        <v>367</v>
      </c>
      <c r="D383" s="129" t="s">
        <v>368</v>
      </c>
      <c r="E383" s="76"/>
      <c r="F383" s="80">
        <f>SUM(H384:H387)</f>
        <v>0</v>
      </c>
      <c r="G383" s="117"/>
      <c r="H383" s="122"/>
      <c r="I383" s="121"/>
      <c r="J383" s="121"/>
      <c r="K383" s="16"/>
      <c r="L383" s="4"/>
      <c r="M383"/>
      <c r="N383" s="226"/>
    </row>
    <row r="384" spans="2:14" ht="15.75" customHeight="1" x14ac:dyDescent="0.25">
      <c r="B384" s="116"/>
      <c r="C384" s="316" t="s">
        <v>285</v>
      </c>
      <c r="D384" s="109" t="s">
        <v>286</v>
      </c>
      <c r="E384" s="26"/>
      <c r="F384" s="42"/>
      <c r="G384" s="117"/>
      <c r="H384" s="254">
        <v>0</v>
      </c>
      <c r="I384" s="121"/>
      <c r="J384" s="121"/>
      <c r="K384" s="16"/>
    </row>
    <row r="385" spans="2:14" ht="15.75" customHeight="1" x14ac:dyDescent="0.25">
      <c r="B385" s="116"/>
      <c r="C385" s="316" t="s">
        <v>177</v>
      </c>
      <c r="D385" s="109" t="s">
        <v>190</v>
      </c>
      <c r="E385" s="26"/>
      <c r="F385" s="42"/>
      <c r="G385" s="133"/>
      <c r="H385" s="254">
        <v>0</v>
      </c>
      <c r="I385" s="121"/>
      <c r="J385" s="124"/>
      <c r="K385" s="16"/>
    </row>
    <row r="386" spans="2:14" ht="15.75" customHeight="1" x14ac:dyDescent="0.25">
      <c r="B386" s="116"/>
      <c r="C386" s="316" t="s">
        <v>589</v>
      </c>
      <c r="D386" s="109" t="s">
        <v>590</v>
      </c>
      <c r="E386" s="26"/>
      <c r="F386" s="42"/>
      <c r="G386" s="133"/>
      <c r="H386" s="7">
        <v>0</v>
      </c>
      <c r="I386" s="121"/>
      <c r="J386" s="124"/>
      <c r="K386" s="16"/>
    </row>
    <row r="387" spans="2:14" ht="15.75" customHeight="1" x14ac:dyDescent="0.25">
      <c r="B387" s="116"/>
      <c r="C387" s="316" t="s">
        <v>542</v>
      </c>
      <c r="D387" s="109" t="s">
        <v>543</v>
      </c>
      <c r="E387" s="26"/>
      <c r="F387" s="42"/>
      <c r="G387" s="133"/>
      <c r="H387" s="7">
        <v>0</v>
      </c>
      <c r="I387" s="121"/>
      <c r="J387" s="124"/>
      <c r="K387" s="16"/>
    </row>
    <row r="388" spans="2:14" s="78" customFormat="1" ht="12.75" customHeight="1" x14ac:dyDescent="0.25">
      <c r="B388" s="139"/>
      <c r="C388" s="324" t="s">
        <v>361</v>
      </c>
      <c r="D388" s="129" t="s">
        <v>369</v>
      </c>
      <c r="E388" s="76"/>
      <c r="F388" s="80">
        <f>SUM(H389)</f>
        <v>0</v>
      </c>
      <c r="G388" s="133"/>
      <c r="H388" s="122"/>
      <c r="I388" s="121"/>
      <c r="J388" s="124"/>
      <c r="K388" s="16"/>
      <c r="L388" s="4"/>
      <c r="M388"/>
      <c r="N388" s="226"/>
    </row>
    <row r="389" spans="2:14" ht="16.5" customHeight="1" x14ac:dyDescent="0.25">
      <c r="B389" s="116"/>
      <c r="C389" s="316" t="s">
        <v>118</v>
      </c>
      <c r="D389" s="109" t="s">
        <v>159</v>
      </c>
      <c r="E389" s="26"/>
      <c r="F389" s="42"/>
      <c r="G389" s="117"/>
      <c r="H389" s="7">
        <v>0</v>
      </c>
      <c r="I389" s="121"/>
      <c r="J389" s="121"/>
      <c r="K389" s="16"/>
    </row>
    <row r="390" spans="2:14" s="78" customFormat="1" ht="17.25" customHeight="1" x14ac:dyDescent="0.25">
      <c r="B390" s="139"/>
      <c r="C390" s="324" t="s">
        <v>362</v>
      </c>
      <c r="D390" s="129" t="s">
        <v>370</v>
      </c>
      <c r="E390" s="76"/>
      <c r="F390" s="80">
        <f>SUM(H391)</f>
        <v>0</v>
      </c>
      <c r="G390" s="117"/>
      <c r="H390" s="122"/>
      <c r="I390" s="121"/>
      <c r="J390" s="121"/>
      <c r="K390" s="16"/>
      <c r="L390" s="4"/>
      <c r="M390"/>
      <c r="N390" s="226"/>
    </row>
    <row r="391" spans="2:14" ht="13.5" customHeight="1" x14ac:dyDescent="0.25">
      <c r="B391" s="116"/>
      <c r="C391" s="316" t="s">
        <v>228</v>
      </c>
      <c r="D391" s="109" t="s">
        <v>232</v>
      </c>
      <c r="E391" s="26"/>
      <c r="F391" s="42"/>
      <c r="G391" s="117"/>
      <c r="H391" s="7">
        <v>0</v>
      </c>
      <c r="I391" s="121"/>
      <c r="J391" s="121"/>
      <c r="K391" s="16"/>
    </row>
    <row r="392" spans="2:14" s="78" customFormat="1" ht="16.5" customHeight="1" x14ac:dyDescent="0.25">
      <c r="B392" s="139"/>
      <c r="C392" s="324" t="s">
        <v>363</v>
      </c>
      <c r="D392" s="129" t="s">
        <v>371</v>
      </c>
      <c r="E392" s="76"/>
      <c r="F392" s="80">
        <f>SUM(H394)</f>
        <v>0</v>
      </c>
      <c r="G392" s="117"/>
      <c r="H392" s="122"/>
      <c r="I392" s="121"/>
      <c r="J392" s="121"/>
      <c r="K392" s="16"/>
      <c r="L392" s="4"/>
      <c r="M392"/>
      <c r="N392" s="226"/>
    </row>
    <row r="393" spans="2:14" s="78" customFormat="1" ht="16.5" customHeight="1" x14ac:dyDescent="0.25">
      <c r="B393" s="139"/>
      <c r="C393" s="324" t="s">
        <v>600</v>
      </c>
      <c r="D393" s="129" t="s">
        <v>599</v>
      </c>
      <c r="E393" s="76"/>
      <c r="F393" s="80"/>
      <c r="G393" s="117"/>
      <c r="H393" s="122"/>
      <c r="I393" s="121"/>
      <c r="J393" s="121"/>
      <c r="K393" s="16"/>
      <c r="L393" s="4"/>
      <c r="M393"/>
      <c r="N393" s="226"/>
    </row>
    <row r="394" spans="2:14" ht="13.5" customHeight="1" x14ac:dyDescent="0.25">
      <c r="B394" s="116"/>
      <c r="C394" s="316" t="s">
        <v>208</v>
      </c>
      <c r="D394" s="109" t="s">
        <v>209</v>
      </c>
      <c r="E394" s="26"/>
      <c r="F394" s="42"/>
      <c r="G394" s="117"/>
      <c r="H394" s="7">
        <v>0</v>
      </c>
      <c r="I394" s="121"/>
      <c r="J394" s="121"/>
    </row>
    <row r="395" spans="2:14" ht="13.5" customHeight="1" x14ac:dyDescent="0.25">
      <c r="B395" s="139"/>
      <c r="C395" s="324" t="s">
        <v>601</v>
      </c>
      <c r="D395" s="129" t="s">
        <v>602</v>
      </c>
      <c r="E395" s="76"/>
      <c r="F395" s="80"/>
      <c r="G395" s="117"/>
      <c r="H395" s="122"/>
      <c r="I395" s="121"/>
      <c r="J395" s="121"/>
    </row>
    <row r="396" spans="2:14" ht="13.5" customHeight="1" x14ac:dyDescent="0.25">
      <c r="B396" s="116"/>
      <c r="C396" s="316" t="s">
        <v>597</v>
      </c>
      <c r="D396" s="109" t="s">
        <v>603</v>
      </c>
      <c r="E396" s="26"/>
      <c r="F396" s="42"/>
      <c r="G396" s="117"/>
      <c r="H396" s="254">
        <v>0</v>
      </c>
      <c r="I396" s="121"/>
      <c r="J396" s="121"/>
    </row>
    <row r="397" spans="2:14" s="78" customFormat="1" ht="15.75" customHeight="1" x14ac:dyDescent="0.25">
      <c r="B397" s="139"/>
      <c r="C397" s="324" t="s">
        <v>364</v>
      </c>
      <c r="D397" s="129" t="s">
        <v>372</v>
      </c>
      <c r="E397" s="76"/>
      <c r="F397" s="80">
        <f>SUM(H398:H412)</f>
        <v>2183</v>
      </c>
      <c r="G397" s="117"/>
      <c r="H397" s="249"/>
      <c r="I397" s="121"/>
      <c r="J397" s="121"/>
      <c r="K397" s="31"/>
      <c r="L397" s="4"/>
      <c r="M397"/>
      <c r="N397" s="226"/>
    </row>
    <row r="398" spans="2:14" ht="13.5" customHeight="1" x14ac:dyDescent="0.25">
      <c r="B398" s="116"/>
      <c r="C398" s="316" t="s">
        <v>67</v>
      </c>
      <c r="D398" s="109" t="s">
        <v>191</v>
      </c>
      <c r="E398" s="26"/>
      <c r="F398" s="42"/>
      <c r="G398" s="133"/>
      <c r="H398" s="254">
        <v>0</v>
      </c>
      <c r="I398" s="121"/>
      <c r="J398" s="121"/>
      <c r="M398" s="5"/>
    </row>
    <row r="399" spans="2:14" ht="13.5" customHeight="1" x14ac:dyDescent="0.25">
      <c r="B399" s="116"/>
      <c r="C399" s="316" t="s">
        <v>69</v>
      </c>
      <c r="D399" s="109" t="s">
        <v>192</v>
      </c>
      <c r="E399" s="26"/>
      <c r="F399" s="42"/>
      <c r="G399" s="133"/>
      <c r="H399" s="7">
        <v>0</v>
      </c>
      <c r="I399" s="121"/>
      <c r="J399" s="121"/>
    </row>
    <row r="400" spans="2:14" ht="13.5" customHeight="1" x14ac:dyDescent="0.25">
      <c r="B400" s="116"/>
      <c r="C400" s="316" t="s">
        <v>69</v>
      </c>
      <c r="D400" s="109" t="s">
        <v>192</v>
      </c>
      <c r="E400" s="26"/>
      <c r="F400" s="42"/>
      <c r="G400" s="133"/>
      <c r="H400" s="254">
        <v>0</v>
      </c>
      <c r="I400" s="121"/>
      <c r="J400" s="121"/>
    </row>
    <row r="401" spans="2:12" ht="13.5" customHeight="1" x14ac:dyDescent="0.25">
      <c r="B401" s="116"/>
      <c r="C401" s="316" t="s">
        <v>185</v>
      </c>
      <c r="D401" s="109" t="s">
        <v>193</v>
      </c>
      <c r="E401" s="26"/>
      <c r="F401" s="42"/>
      <c r="G401" s="133"/>
      <c r="H401" s="254">
        <v>0</v>
      </c>
      <c r="I401" s="121"/>
      <c r="J401" s="121"/>
      <c r="K401" s="16"/>
    </row>
    <row r="402" spans="2:12" ht="13.5" customHeight="1" x14ac:dyDescent="0.25">
      <c r="B402" s="116"/>
      <c r="C402" s="316" t="s">
        <v>664</v>
      </c>
      <c r="D402" s="109" t="s">
        <v>666</v>
      </c>
      <c r="E402" s="26"/>
      <c r="F402" s="42"/>
      <c r="G402" s="133"/>
      <c r="H402" s="7">
        <v>0</v>
      </c>
      <c r="I402" s="121"/>
      <c r="J402" s="121"/>
      <c r="K402" s="16"/>
    </row>
    <row r="403" spans="2:12" ht="13.5" customHeight="1" x14ac:dyDescent="0.25">
      <c r="B403" s="134"/>
      <c r="C403" s="316" t="s">
        <v>70</v>
      </c>
      <c r="D403" s="145" t="s">
        <v>194</v>
      </c>
      <c r="E403" s="91"/>
      <c r="F403" s="92"/>
      <c r="G403" s="133"/>
      <c r="H403" s="254">
        <v>0</v>
      </c>
      <c r="I403" s="121"/>
      <c r="J403" s="121"/>
      <c r="K403" s="16"/>
    </row>
    <row r="404" spans="2:12" ht="13.5" customHeight="1" x14ac:dyDescent="0.25">
      <c r="B404" s="134"/>
      <c r="C404" s="316" t="s">
        <v>70</v>
      </c>
      <c r="D404" s="145" t="s">
        <v>194</v>
      </c>
      <c r="E404" s="91"/>
      <c r="F404" s="92"/>
      <c r="G404" s="133"/>
      <c r="H404" s="7">
        <v>0</v>
      </c>
      <c r="I404" s="121"/>
      <c r="J404" s="121"/>
      <c r="K404" s="16"/>
    </row>
    <row r="405" spans="2:12" ht="12.75" customHeight="1" x14ac:dyDescent="0.25">
      <c r="B405" s="116"/>
      <c r="C405" s="316" t="s">
        <v>97</v>
      </c>
      <c r="D405" s="109" t="s">
        <v>125</v>
      </c>
      <c r="E405" s="26"/>
      <c r="F405" s="42"/>
      <c r="G405" s="133"/>
      <c r="H405" s="254">
        <v>0</v>
      </c>
      <c r="I405" s="121"/>
      <c r="J405" s="121"/>
    </row>
    <row r="406" spans="2:12" ht="12.75" customHeight="1" x14ac:dyDescent="0.25">
      <c r="B406" s="116"/>
      <c r="C406" s="316" t="s">
        <v>97</v>
      </c>
      <c r="D406" s="109" t="s">
        <v>125</v>
      </c>
      <c r="E406" s="26"/>
      <c r="F406" s="42"/>
      <c r="G406" s="133"/>
      <c r="I406" s="121"/>
      <c r="J406" s="121"/>
      <c r="K406" s="376"/>
    </row>
    <row r="407" spans="2:12" ht="12.75" customHeight="1" x14ac:dyDescent="0.25">
      <c r="B407" s="116"/>
      <c r="C407" s="209" t="s">
        <v>95</v>
      </c>
      <c r="D407" s="109" t="s">
        <v>195</v>
      </c>
      <c r="E407" s="26"/>
      <c r="F407" s="42"/>
      <c r="G407" s="117"/>
      <c r="H407" s="7">
        <f>+'Pago Mayo'!G37</f>
        <v>2183</v>
      </c>
      <c r="I407" s="121"/>
      <c r="J407" s="121"/>
    </row>
    <row r="408" spans="2:12" ht="12.75" customHeight="1" x14ac:dyDescent="0.25">
      <c r="B408" s="116"/>
      <c r="C408" s="209" t="s">
        <v>261</v>
      </c>
      <c r="D408" s="109" t="s">
        <v>334</v>
      </c>
      <c r="E408" s="26"/>
      <c r="F408" s="42"/>
      <c r="G408" s="117"/>
      <c r="H408" s="712">
        <v>0</v>
      </c>
      <c r="I408" s="121"/>
      <c r="J408" s="121"/>
    </row>
    <row r="409" spans="2:12" ht="12.75" customHeight="1" x14ac:dyDescent="0.25">
      <c r="B409" s="116"/>
      <c r="C409" s="209" t="s">
        <v>71</v>
      </c>
      <c r="D409" s="109" t="s">
        <v>196</v>
      </c>
      <c r="E409" s="26"/>
      <c r="F409" s="42"/>
      <c r="G409" s="117"/>
      <c r="H409" s="7">
        <v>0</v>
      </c>
      <c r="I409" s="121"/>
      <c r="J409" s="121"/>
    </row>
    <row r="410" spans="2:12" ht="12.75" customHeight="1" x14ac:dyDescent="0.25">
      <c r="B410" s="116"/>
      <c r="C410" s="209" t="s">
        <v>336</v>
      </c>
      <c r="D410" s="109" t="s">
        <v>335</v>
      </c>
      <c r="E410" s="26"/>
      <c r="F410" s="42"/>
      <c r="G410" s="117"/>
      <c r="H410" s="7">
        <v>0</v>
      </c>
      <c r="I410" s="121"/>
      <c r="J410" s="121"/>
    </row>
    <row r="411" spans="2:12" ht="12.75" customHeight="1" x14ac:dyDescent="0.25">
      <c r="B411" s="116"/>
      <c r="C411" s="209" t="s">
        <v>536</v>
      </c>
      <c r="D411" s="109" t="s">
        <v>537</v>
      </c>
      <c r="E411" s="26"/>
      <c r="F411" s="42"/>
      <c r="G411" s="117"/>
      <c r="H411" s="7">
        <v>0</v>
      </c>
      <c r="I411" s="121"/>
      <c r="J411" s="121"/>
    </row>
    <row r="412" spans="2:12" ht="12.75" customHeight="1" x14ac:dyDescent="0.25">
      <c r="B412" s="116"/>
      <c r="C412" s="209" t="s">
        <v>248</v>
      </c>
      <c r="D412" s="109" t="s">
        <v>337</v>
      </c>
      <c r="E412" s="26"/>
      <c r="F412" s="42"/>
      <c r="G412" s="117"/>
      <c r="H412" s="254">
        <v>0</v>
      </c>
      <c r="I412" s="121"/>
      <c r="J412" s="121"/>
    </row>
    <row r="413" spans="2:12" ht="12.75" customHeight="1" x14ac:dyDescent="0.25">
      <c r="B413" s="116"/>
      <c r="D413" s="81" t="s">
        <v>17</v>
      </c>
      <c r="E413" s="26"/>
      <c r="F413" s="42"/>
      <c r="G413" s="117"/>
      <c r="H413" s="122"/>
      <c r="I413" s="121"/>
      <c r="J413" s="122"/>
    </row>
    <row r="414" spans="2:12" ht="13.5" customHeight="1" x14ac:dyDescent="0.25">
      <c r="B414" s="116"/>
      <c r="D414" s="109" t="s">
        <v>24</v>
      </c>
      <c r="E414" s="26"/>
      <c r="F414" s="42"/>
      <c r="G414" s="117"/>
      <c r="H414" s="20"/>
      <c r="I414" s="121"/>
      <c r="J414" s="7">
        <f>+'Pago Mayo'!E65-'Pago Mayo'!G23-'Pago Mayo'!G28</f>
        <v>33453</v>
      </c>
      <c r="K414" s="387"/>
      <c r="L414" s="190"/>
    </row>
    <row r="415" spans="2:12" ht="13.5" customHeight="1" x14ac:dyDescent="0.25">
      <c r="B415" s="116"/>
      <c r="D415" s="109" t="s">
        <v>262</v>
      </c>
      <c r="E415" s="26"/>
      <c r="F415" s="42"/>
      <c r="G415" s="117"/>
      <c r="H415" s="20"/>
      <c r="I415" s="121"/>
      <c r="J415" s="121">
        <v>0</v>
      </c>
      <c r="K415" s="387"/>
      <c r="L415" s="190"/>
    </row>
    <row r="416" spans="2:12" ht="13.5" customHeight="1" x14ac:dyDescent="0.25">
      <c r="B416" s="116"/>
      <c r="D416" s="109" t="s">
        <v>2</v>
      </c>
      <c r="E416" s="26"/>
      <c r="F416" s="42"/>
      <c r="G416" s="117"/>
      <c r="H416" s="131"/>
      <c r="I416" s="121"/>
      <c r="J416" s="135">
        <v>0</v>
      </c>
      <c r="K416" s="376"/>
    </row>
    <row r="417" spans="2:14" ht="27" customHeight="1" thickBot="1" x14ac:dyDescent="0.3">
      <c r="B417" s="116"/>
      <c r="D417" s="851" t="s">
        <v>824</v>
      </c>
      <c r="E417" s="851"/>
      <c r="F417" s="851"/>
      <c r="G417" s="117"/>
      <c r="H417" s="146">
        <f>SUM(H375:H416)</f>
        <v>33453</v>
      </c>
      <c r="I417" s="121"/>
      <c r="J417" s="146">
        <f>SUM(J375:J416)</f>
        <v>33453</v>
      </c>
      <c r="K417" s="376">
        <f>+H417-J417</f>
        <v>0</v>
      </c>
      <c r="L417" s="376"/>
      <c r="M417" s="5">
        <f>+H417-J417</f>
        <v>0</v>
      </c>
    </row>
    <row r="418" spans="2:14" ht="15" customHeight="1" thickTop="1" x14ac:dyDescent="0.25">
      <c r="B418" s="116"/>
      <c r="D418" s="81"/>
      <c r="E418" s="26"/>
      <c r="F418" s="42"/>
      <c r="G418" s="117"/>
      <c r="H418" s="122"/>
      <c r="I418" s="121"/>
      <c r="J418" s="121"/>
      <c r="L418" s="16"/>
    </row>
    <row r="419" spans="2:14" ht="15" customHeight="1" x14ac:dyDescent="0.25">
      <c r="B419" s="116"/>
      <c r="D419" s="81"/>
      <c r="E419" s="26"/>
      <c r="F419" s="42"/>
      <c r="G419" s="117"/>
      <c r="H419" s="122"/>
      <c r="I419" s="121"/>
      <c r="J419" s="121"/>
      <c r="L419" s="16"/>
    </row>
    <row r="420" spans="2:14" s="78" customFormat="1" ht="12.75" customHeight="1" x14ac:dyDescent="0.25">
      <c r="B420" s="139">
        <v>40</v>
      </c>
      <c r="C420" s="323">
        <v>2.4</v>
      </c>
      <c r="D420" s="129" t="s">
        <v>374</v>
      </c>
      <c r="E420" s="76"/>
      <c r="F420" s="136"/>
      <c r="G420" s="117"/>
      <c r="H420" s="20"/>
      <c r="I420" s="121"/>
      <c r="J420" s="121"/>
      <c r="K420" s="31"/>
      <c r="L420" s="4"/>
      <c r="M420"/>
      <c r="N420" s="226"/>
    </row>
    <row r="421" spans="2:14" s="78" customFormat="1" ht="12.75" customHeight="1" x14ac:dyDescent="0.25">
      <c r="B421" s="139"/>
      <c r="C421" s="323" t="s">
        <v>373</v>
      </c>
      <c r="D421" s="129" t="s">
        <v>375</v>
      </c>
      <c r="E421" s="76"/>
      <c r="F421" s="136"/>
      <c r="G421" s="117"/>
      <c r="H421" s="20"/>
      <c r="I421" s="121"/>
      <c r="J421" s="121"/>
      <c r="K421" s="31"/>
      <c r="L421" s="4"/>
      <c r="M421"/>
      <c r="N421" s="226"/>
    </row>
    <row r="422" spans="2:14" ht="12.75" customHeight="1" x14ac:dyDescent="0.25">
      <c r="B422" s="116"/>
      <c r="C422" s="209" t="s">
        <v>377</v>
      </c>
      <c r="D422" s="137" t="s">
        <v>376</v>
      </c>
      <c r="E422" s="26"/>
      <c r="F422" s="42"/>
      <c r="G422" s="117"/>
      <c r="H422" s="408">
        <v>0</v>
      </c>
      <c r="I422" s="121"/>
      <c r="J422" s="20"/>
    </row>
    <row r="423" spans="2:14" ht="12.75" customHeight="1" x14ac:dyDescent="0.25">
      <c r="B423" s="116"/>
      <c r="D423" s="81" t="s">
        <v>17</v>
      </c>
      <c r="E423" s="26"/>
      <c r="F423" s="42"/>
      <c r="G423" s="117"/>
      <c r="H423" s="122"/>
      <c r="I423" s="121"/>
      <c r="J423" s="121"/>
    </row>
    <row r="424" spans="2:14" ht="12.75" customHeight="1" x14ac:dyDescent="0.25">
      <c r="B424" s="116"/>
      <c r="D424" s="109" t="s">
        <v>24</v>
      </c>
      <c r="E424" s="26"/>
      <c r="F424" s="42"/>
      <c r="G424" s="117"/>
      <c r="H424" s="122"/>
      <c r="I424" s="121"/>
      <c r="J424" s="7">
        <v>0</v>
      </c>
    </row>
    <row r="425" spans="2:14" ht="12.75" customHeight="1" x14ac:dyDescent="0.25">
      <c r="B425" s="116"/>
      <c r="D425" s="109" t="s">
        <v>262</v>
      </c>
      <c r="E425" s="26"/>
      <c r="F425" s="42"/>
      <c r="G425" s="117"/>
      <c r="H425" s="122"/>
      <c r="I425" s="121"/>
      <c r="J425" s="7">
        <v>0</v>
      </c>
    </row>
    <row r="426" spans="2:14" ht="12.75" customHeight="1" x14ac:dyDescent="0.25">
      <c r="B426" s="116"/>
      <c r="D426" s="109" t="s">
        <v>2</v>
      </c>
      <c r="E426" s="26"/>
      <c r="F426" s="42"/>
      <c r="G426" s="117"/>
      <c r="H426" s="122"/>
      <c r="I426" s="121"/>
      <c r="J426" s="7">
        <v>0</v>
      </c>
    </row>
    <row r="427" spans="2:14" ht="30.75" customHeight="1" thickBot="1" x14ac:dyDescent="0.3">
      <c r="B427" s="116"/>
      <c r="D427" s="851"/>
      <c r="E427" s="851"/>
      <c r="F427" s="851"/>
      <c r="G427" s="117"/>
      <c r="H427" s="141">
        <f>SUM(H422:H426)</f>
        <v>0</v>
      </c>
      <c r="I427" s="124"/>
      <c r="J427" s="141">
        <f>SUM(J422:J426)</f>
        <v>0</v>
      </c>
      <c r="K427" s="376">
        <f>+H427-J427</f>
        <v>0</v>
      </c>
    </row>
    <row r="428" spans="2:14" ht="12.75" customHeight="1" thickTop="1" x14ac:dyDescent="0.25">
      <c r="B428" s="116"/>
      <c r="D428" s="114"/>
      <c r="E428" s="114"/>
      <c r="F428" s="114"/>
      <c r="G428" s="117"/>
      <c r="H428" s="122"/>
      <c r="I428" s="121"/>
      <c r="J428" s="121"/>
    </row>
    <row r="429" spans="2:14" ht="12.75" customHeight="1" x14ac:dyDescent="0.25">
      <c r="B429" s="116"/>
      <c r="D429" s="114"/>
      <c r="E429" s="114"/>
      <c r="F429" s="114"/>
      <c r="G429" s="117"/>
      <c r="H429" s="122"/>
      <c r="I429" s="121"/>
      <c r="J429" s="121"/>
    </row>
    <row r="430" spans="2:14" s="78" customFormat="1" ht="12.75" customHeight="1" x14ac:dyDescent="0.25">
      <c r="B430" s="139">
        <v>41</v>
      </c>
      <c r="C430" s="323">
        <v>2.6</v>
      </c>
      <c r="D430" s="129" t="s">
        <v>379</v>
      </c>
      <c r="E430" s="82"/>
      <c r="F430" s="83">
        <f>+F431+F440+F445+F448+F453+F455</f>
        <v>248705.06</v>
      </c>
      <c r="G430" s="117"/>
      <c r="H430" s="122"/>
      <c r="I430" s="121"/>
      <c r="J430" s="121"/>
      <c r="K430" s="31"/>
      <c r="L430" s="4"/>
      <c r="M430"/>
      <c r="N430" s="226"/>
    </row>
    <row r="431" spans="2:14" s="78" customFormat="1" ht="12.75" customHeight="1" x14ac:dyDescent="0.25">
      <c r="B431" s="139"/>
      <c r="C431" s="323" t="s">
        <v>378</v>
      </c>
      <c r="D431" s="129" t="s">
        <v>380</v>
      </c>
      <c r="E431" s="76"/>
      <c r="F431" s="80">
        <f>+F432+F434+F436+F438</f>
        <v>248705.06</v>
      </c>
      <c r="G431" s="117"/>
      <c r="H431" s="122"/>
      <c r="I431" s="121"/>
      <c r="J431" s="121"/>
      <c r="K431" s="31"/>
      <c r="L431" s="4"/>
      <c r="M431"/>
      <c r="N431" s="226"/>
    </row>
    <row r="432" spans="2:14" s="78" customFormat="1" ht="12.75" customHeight="1" x14ac:dyDescent="0.25">
      <c r="B432" s="139"/>
      <c r="C432" s="323" t="s">
        <v>516</v>
      </c>
      <c r="D432" s="129" t="s">
        <v>504</v>
      </c>
      <c r="E432" s="76"/>
      <c r="F432" s="80">
        <f>+H433</f>
        <v>0</v>
      </c>
      <c r="G432" s="117"/>
      <c r="H432" s="122"/>
      <c r="I432" s="121"/>
      <c r="J432" s="121"/>
      <c r="K432" s="31"/>
      <c r="L432" s="4"/>
      <c r="M432"/>
      <c r="N432" s="226"/>
    </row>
    <row r="433" spans="2:14" ht="12.75" customHeight="1" x14ac:dyDescent="0.25">
      <c r="B433" s="116"/>
      <c r="C433" s="209" t="s">
        <v>396</v>
      </c>
      <c r="D433" s="109" t="s">
        <v>504</v>
      </c>
      <c r="E433" s="26"/>
      <c r="F433" s="42"/>
      <c r="G433" s="117"/>
      <c r="H433" s="7">
        <v>0</v>
      </c>
      <c r="I433" s="121"/>
      <c r="J433" s="121"/>
      <c r="L433" s="389"/>
    </row>
    <row r="434" spans="2:14" ht="12.75" customHeight="1" x14ac:dyDescent="0.25">
      <c r="B434" s="116"/>
      <c r="C434" s="317" t="s">
        <v>505</v>
      </c>
      <c r="D434" s="47" t="s">
        <v>241</v>
      </c>
      <c r="E434" s="26"/>
      <c r="F434" s="80">
        <f>+H435</f>
        <v>248705.06</v>
      </c>
      <c r="G434" s="117"/>
      <c r="H434" s="122"/>
      <c r="I434" s="121"/>
      <c r="J434" s="121"/>
      <c r="L434" s="389"/>
    </row>
    <row r="435" spans="2:14" ht="12.75" customHeight="1" x14ac:dyDescent="0.25">
      <c r="B435" s="116"/>
      <c r="C435" s="209" t="s">
        <v>236</v>
      </c>
      <c r="D435" s="109" t="s">
        <v>241</v>
      </c>
      <c r="E435" s="26"/>
      <c r="F435" s="42"/>
      <c r="G435" s="117"/>
      <c r="H435" s="7">
        <f>+'Pago Mayo'!G38</f>
        <v>248705.06</v>
      </c>
      <c r="I435" s="121"/>
      <c r="J435" s="121"/>
      <c r="L435" s="389"/>
    </row>
    <row r="436" spans="2:14" ht="12.75" customHeight="1" x14ac:dyDescent="0.25">
      <c r="B436" s="116"/>
      <c r="C436" s="317" t="s">
        <v>501</v>
      </c>
      <c r="D436" s="47" t="s">
        <v>502</v>
      </c>
      <c r="E436" s="26"/>
      <c r="F436" s="80">
        <f>+H437</f>
        <v>0</v>
      </c>
      <c r="G436" s="117"/>
      <c r="H436" s="122"/>
      <c r="I436" s="121"/>
      <c r="J436" s="121"/>
      <c r="L436" s="389"/>
    </row>
    <row r="437" spans="2:14" ht="12.75" customHeight="1" x14ac:dyDescent="0.25">
      <c r="B437" s="116"/>
      <c r="C437" s="209" t="s">
        <v>503</v>
      </c>
      <c r="D437" s="109" t="s">
        <v>502</v>
      </c>
      <c r="E437" s="26"/>
      <c r="F437" s="42"/>
      <c r="G437" s="117"/>
      <c r="H437" s="7">
        <v>0</v>
      </c>
      <c r="I437" s="121"/>
      <c r="J437" s="121"/>
      <c r="L437" s="389"/>
    </row>
    <row r="438" spans="2:14" ht="12.75" customHeight="1" x14ac:dyDescent="0.25">
      <c r="B438" s="116"/>
      <c r="C438" s="317" t="s">
        <v>500</v>
      </c>
      <c r="D438" s="47" t="s">
        <v>249</v>
      </c>
      <c r="E438" s="26"/>
      <c r="F438" s="80">
        <f>+H439</f>
        <v>0</v>
      </c>
      <c r="G438" s="117"/>
      <c r="H438" s="122"/>
      <c r="I438" s="121"/>
      <c r="J438" s="121"/>
      <c r="L438" s="389"/>
    </row>
    <row r="439" spans="2:14" ht="12.75" customHeight="1" x14ac:dyDescent="0.25">
      <c r="B439" s="116"/>
      <c r="C439" s="209" t="s">
        <v>242</v>
      </c>
      <c r="D439" s="109" t="s">
        <v>249</v>
      </c>
      <c r="E439" s="26"/>
      <c r="F439" s="42"/>
      <c r="G439" s="117"/>
      <c r="H439" s="7">
        <v>0</v>
      </c>
      <c r="I439" s="121"/>
      <c r="J439" s="121"/>
      <c r="L439" s="389"/>
    </row>
    <row r="440" spans="2:14" s="78" customFormat="1" ht="12.75" customHeight="1" x14ac:dyDescent="0.25">
      <c r="B440" s="139"/>
      <c r="C440" s="323" t="s">
        <v>381</v>
      </c>
      <c r="D440" s="129" t="s">
        <v>382</v>
      </c>
      <c r="E440" s="76"/>
      <c r="F440" s="80">
        <f>+F443</f>
        <v>0</v>
      </c>
      <c r="G440" s="117"/>
      <c r="H440" s="122"/>
      <c r="I440" s="121"/>
      <c r="J440" s="121"/>
      <c r="K440" s="31"/>
      <c r="L440" s="389"/>
      <c r="M440"/>
      <c r="N440" s="226"/>
    </row>
    <row r="441" spans="2:14" ht="12.75" customHeight="1" x14ac:dyDescent="0.25">
      <c r="B441" s="139"/>
      <c r="C441" s="323" t="s">
        <v>604</v>
      </c>
      <c r="D441" s="129" t="s">
        <v>605</v>
      </c>
      <c r="E441" s="76"/>
      <c r="F441" s="80">
        <f>+H442</f>
        <v>0</v>
      </c>
      <c r="G441" s="117"/>
      <c r="H441" s="122"/>
      <c r="I441" s="121"/>
      <c r="J441" s="121"/>
      <c r="L441" s="389"/>
    </row>
    <row r="442" spans="2:14" ht="12.75" customHeight="1" x14ac:dyDescent="0.25">
      <c r="B442" s="116"/>
      <c r="C442" s="209" t="s">
        <v>598</v>
      </c>
      <c r="D442" s="113" t="s">
        <v>605</v>
      </c>
      <c r="E442" s="26"/>
      <c r="F442" s="42"/>
      <c r="G442" s="117"/>
      <c r="H442" s="7">
        <v>0</v>
      </c>
      <c r="I442" s="121"/>
      <c r="J442" s="121"/>
      <c r="L442" s="389"/>
    </row>
    <row r="443" spans="2:14" ht="12.75" customHeight="1" x14ac:dyDescent="0.25">
      <c r="B443" s="139"/>
      <c r="C443" s="323" t="s">
        <v>506</v>
      </c>
      <c r="D443" s="129" t="s">
        <v>255</v>
      </c>
      <c r="E443" s="76"/>
      <c r="F443" s="80">
        <f>+H444</f>
        <v>0</v>
      </c>
      <c r="G443" s="117"/>
      <c r="H443" s="122"/>
      <c r="I443" s="121"/>
      <c r="J443" s="121"/>
      <c r="L443" s="389"/>
    </row>
    <row r="444" spans="2:14" ht="12.75" customHeight="1" x14ac:dyDescent="0.25">
      <c r="B444" s="116"/>
      <c r="C444" s="209" t="s">
        <v>254</v>
      </c>
      <c r="D444" s="113" t="s">
        <v>255</v>
      </c>
      <c r="E444" s="26"/>
      <c r="F444" s="42"/>
      <c r="G444" s="117"/>
      <c r="H444" s="7">
        <v>0</v>
      </c>
      <c r="I444" s="121"/>
      <c r="J444" s="121"/>
      <c r="L444" s="389"/>
    </row>
    <row r="445" spans="2:14" s="78" customFormat="1" ht="12.75" customHeight="1" x14ac:dyDescent="0.25">
      <c r="B445" s="139"/>
      <c r="C445" s="323" t="s">
        <v>507</v>
      </c>
      <c r="D445" s="42" t="s">
        <v>511</v>
      </c>
      <c r="E445" s="76"/>
      <c r="F445" s="80">
        <f>+F446</f>
        <v>0</v>
      </c>
      <c r="G445" s="117"/>
      <c r="H445" s="122"/>
      <c r="I445" s="121"/>
      <c r="J445" s="121"/>
      <c r="K445" s="31"/>
      <c r="L445" s="389"/>
      <c r="M445"/>
      <c r="N445" s="226"/>
    </row>
    <row r="446" spans="2:14" ht="12.75" customHeight="1" x14ac:dyDescent="0.25">
      <c r="B446" s="116"/>
      <c r="C446" s="317" t="s">
        <v>509</v>
      </c>
      <c r="D446" s="127" t="s">
        <v>508</v>
      </c>
      <c r="E446" s="26"/>
      <c r="F446" s="80">
        <f>+H447</f>
        <v>0</v>
      </c>
      <c r="G446" s="117"/>
      <c r="H446" s="122"/>
      <c r="I446" s="121"/>
      <c r="J446" s="121"/>
      <c r="L446" s="389"/>
    </row>
    <row r="447" spans="2:14" ht="12.75" customHeight="1" x14ac:dyDescent="0.25">
      <c r="B447" s="116"/>
      <c r="C447" s="209" t="s">
        <v>510</v>
      </c>
      <c r="D447" s="137" t="s">
        <v>508</v>
      </c>
      <c r="E447" s="26"/>
      <c r="F447" s="42"/>
      <c r="G447" s="117"/>
      <c r="H447" s="7">
        <v>0</v>
      </c>
      <c r="I447" s="121"/>
      <c r="J447" s="121"/>
      <c r="L447" s="389"/>
    </row>
    <row r="448" spans="2:14" s="78" customFormat="1" ht="12.75" customHeight="1" x14ac:dyDescent="0.25">
      <c r="B448" s="139"/>
      <c r="C448" s="323" t="s">
        <v>383</v>
      </c>
      <c r="D448" s="129" t="s">
        <v>385</v>
      </c>
      <c r="E448" s="76"/>
      <c r="F448" s="80">
        <f>+F449+F451</f>
        <v>0</v>
      </c>
      <c r="G448" s="117"/>
      <c r="H448" s="122"/>
      <c r="I448" s="121"/>
      <c r="J448" s="121"/>
      <c r="K448" s="31"/>
      <c r="L448" s="389"/>
      <c r="M448"/>
      <c r="N448" s="226"/>
    </row>
    <row r="449" spans="1:18" s="78" customFormat="1" ht="12.75" customHeight="1" x14ac:dyDescent="0.25">
      <c r="A449"/>
      <c r="B449" s="116"/>
      <c r="C449" s="317" t="s">
        <v>512</v>
      </c>
      <c r="D449" s="127" t="s">
        <v>514</v>
      </c>
      <c r="E449" s="26"/>
      <c r="F449" s="80">
        <f>+H450</f>
        <v>0</v>
      </c>
      <c r="G449" s="117"/>
      <c r="H449" s="122"/>
      <c r="I449" s="121"/>
      <c r="J449" s="121"/>
      <c r="K449" s="31"/>
      <c r="L449" s="389"/>
      <c r="M449"/>
      <c r="N449" s="226"/>
    </row>
    <row r="450" spans="1:18" s="78" customFormat="1" ht="12.75" customHeight="1" x14ac:dyDescent="0.25">
      <c r="A450"/>
      <c r="B450" s="116"/>
      <c r="C450" s="317" t="s">
        <v>513</v>
      </c>
      <c r="D450" s="137" t="s">
        <v>514</v>
      </c>
      <c r="E450" s="26"/>
      <c r="F450" s="41"/>
      <c r="G450" s="117"/>
      <c r="H450" s="7">
        <v>0</v>
      </c>
      <c r="I450" s="121"/>
      <c r="J450" s="121"/>
      <c r="K450" s="31"/>
      <c r="L450" s="389"/>
      <c r="M450"/>
      <c r="N450" s="226"/>
    </row>
    <row r="451" spans="1:18" s="78" customFormat="1" ht="12.75" customHeight="1" x14ac:dyDescent="0.25">
      <c r="A451"/>
      <c r="B451" s="116"/>
      <c r="C451" s="317" t="s">
        <v>515</v>
      </c>
      <c r="D451" s="127" t="s">
        <v>250</v>
      </c>
      <c r="E451" s="26"/>
      <c r="F451" s="80">
        <f>+H452</f>
        <v>0</v>
      </c>
      <c r="G451" s="117"/>
      <c r="H451" s="122"/>
      <c r="I451" s="121"/>
      <c r="J451" s="121"/>
      <c r="K451" s="31"/>
      <c r="L451" s="389"/>
      <c r="M451"/>
      <c r="N451" s="226"/>
    </row>
    <row r="452" spans="1:18" ht="12.75" customHeight="1" x14ac:dyDescent="0.25">
      <c r="B452" s="116"/>
      <c r="C452" s="209" t="s">
        <v>247</v>
      </c>
      <c r="D452" s="109" t="s">
        <v>250</v>
      </c>
      <c r="E452" s="26"/>
      <c r="F452" s="42"/>
      <c r="G452" s="117"/>
      <c r="H452" s="7">
        <v>0</v>
      </c>
      <c r="I452" s="121"/>
      <c r="J452" s="121"/>
      <c r="L452" s="389"/>
    </row>
    <row r="453" spans="1:18" s="78" customFormat="1" ht="12.75" customHeight="1" x14ac:dyDescent="0.25">
      <c r="B453" s="139"/>
      <c r="C453" s="323" t="s">
        <v>384</v>
      </c>
      <c r="D453" s="129" t="s">
        <v>386</v>
      </c>
      <c r="E453" s="76"/>
      <c r="F453" s="80">
        <f>+H454</f>
        <v>0</v>
      </c>
      <c r="G453" s="117"/>
      <c r="H453" s="122"/>
      <c r="I453" s="121"/>
      <c r="J453" s="121"/>
      <c r="K453" s="31"/>
      <c r="L453" s="389"/>
      <c r="M453"/>
      <c r="N453" s="226"/>
    </row>
    <row r="454" spans="1:18" ht="12.75" customHeight="1" x14ac:dyDescent="0.25">
      <c r="B454" s="116"/>
      <c r="C454" s="209" t="s">
        <v>281</v>
      </c>
      <c r="D454" s="20" t="s">
        <v>169</v>
      </c>
      <c r="E454" s="26"/>
      <c r="F454" s="42"/>
      <c r="G454" s="117"/>
      <c r="H454" s="7">
        <v>0</v>
      </c>
      <c r="I454" s="121"/>
      <c r="J454" s="121"/>
      <c r="L454" s="389"/>
    </row>
    <row r="455" spans="1:18" s="78" customFormat="1" ht="12.75" customHeight="1" x14ac:dyDescent="0.25">
      <c r="B455" s="139"/>
      <c r="C455" s="323" t="s">
        <v>387</v>
      </c>
      <c r="D455" s="129" t="s">
        <v>388</v>
      </c>
      <c r="E455" s="76"/>
      <c r="F455" s="80">
        <f>+H456</f>
        <v>0</v>
      </c>
      <c r="G455" s="117"/>
      <c r="H455" s="122"/>
      <c r="I455" s="121"/>
      <c r="J455" s="121"/>
      <c r="K455" s="31"/>
      <c r="L455" s="389"/>
      <c r="M455"/>
      <c r="N455" s="226"/>
    </row>
    <row r="456" spans="1:18" ht="17.25" customHeight="1" x14ac:dyDescent="0.25">
      <c r="B456" s="116"/>
      <c r="C456" s="209" t="s">
        <v>245</v>
      </c>
      <c r="D456" s="109" t="s">
        <v>251</v>
      </c>
      <c r="E456" s="26"/>
      <c r="F456" s="42"/>
      <c r="G456" s="117"/>
      <c r="H456" s="7">
        <v>0</v>
      </c>
      <c r="I456" s="121"/>
      <c r="J456" s="121"/>
      <c r="L456" s="389"/>
    </row>
    <row r="457" spans="1:18" ht="12.75" customHeight="1" x14ac:dyDescent="0.25">
      <c r="B457" s="116"/>
      <c r="D457" s="109" t="s">
        <v>17</v>
      </c>
      <c r="E457" s="26"/>
      <c r="F457" s="42"/>
      <c r="G457" s="117"/>
      <c r="H457" s="121"/>
      <c r="I457" s="121"/>
      <c r="J457" s="121"/>
      <c r="K457" s="281"/>
    </row>
    <row r="458" spans="1:18" ht="15.75" customHeight="1" x14ac:dyDescent="0.25">
      <c r="B458" s="116"/>
      <c r="D458" s="109" t="s">
        <v>24</v>
      </c>
      <c r="E458" s="26"/>
      <c r="F458" s="42"/>
      <c r="G458" s="117"/>
      <c r="H458" s="121"/>
      <c r="I458" s="121"/>
      <c r="J458" s="121">
        <f>+'Pago Mayo'!E67</f>
        <v>248705.06</v>
      </c>
      <c r="K458" s="16"/>
      <c r="L458" s="378"/>
    </row>
    <row r="459" spans="1:18" ht="14.25" customHeight="1" x14ac:dyDescent="0.25">
      <c r="B459" s="116"/>
      <c r="D459" s="109" t="s">
        <v>2</v>
      </c>
      <c r="E459" s="109" t="s">
        <v>0</v>
      </c>
      <c r="F459" s="42"/>
      <c r="G459" s="117"/>
      <c r="H459" s="121"/>
      <c r="I459" s="121"/>
      <c r="J459" s="121">
        <v>0</v>
      </c>
      <c r="K459" s="16"/>
      <c r="L459" s="378"/>
    </row>
    <row r="460" spans="1:18" ht="19.5" customHeight="1" thickBot="1" x14ac:dyDescent="0.3">
      <c r="B460" s="116"/>
      <c r="D460" s="851"/>
      <c r="E460" s="851"/>
      <c r="F460" s="851"/>
      <c r="G460" s="123"/>
      <c r="H460" s="141">
        <f>SUM(H431:H456)</f>
        <v>248705.06</v>
      </c>
      <c r="I460" s="124"/>
      <c r="J460" s="141">
        <f>SUM(J430:J459)</f>
        <v>248705.06</v>
      </c>
      <c r="K460" s="376">
        <f>+H460-J460</f>
        <v>0</v>
      </c>
      <c r="L460" s="854"/>
      <c r="M460" s="854"/>
      <c r="N460" s="854"/>
      <c r="O460" s="117"/>
      <c r="P460" s="392"/>
      <c r="Q460" s="119"/>
      <c r="R460" s="149"/>
    </row>
    <row r="461" spans="1:18" ht="11.25" customHeight="1" thickTop="1" x14ac:dyDescent="0.25">
      <c r="B461" s="116"/>
      <c r="D461" s="109"/>
      <c r="E461" s="26"/>
      <c r="F461" s="37"/>
      <c r="G461" s="117"/>
      <c r="H461" s="121"/>
      <c r="I461" s="124"/>
      <c r="J461" s="124"/>
      <c r="K461" s="16"/>
      <c r="L461" s="390"/>
    </row>
    <row r="462" spans="1:18" ht="17.25" customHeight="1" thickBot="1" x14ac:dyDescent="0.3">
      <c r="D462" s="47" t="s">
        <v>77</v>
      </c>
      <c r="E462" s="26"/>
      <c r="F462" s="38"/>
      <c r="H462" s="27">
        <f>H9+H15+H21+H27+H39+H33+H45+H51++H56+H62+H68+H74+H80+H86+H92+H98+H104+H110+H116+H122+H173+H179+H185+H191+H197+H202+H208+H216+H222+H233+H243+H260+H266+H272+H278+H284+H314+H371+H417+H427+H460</f>
        <v>23453512.407500003</v>
      </c>
      <c r="I462" s="27"/>
      <c r="J462" s="27">
        <f>J9+J15+J21+J27+J39+J33+J45+J51++J56+J62+J68+J74+J80+J86+J92+J98+J104+J110+J116+J122+J173+J179+J185+J191+J197+J202+J208+J216+J222+J233+J243+J260+J266+J272+J278+J284+J314+J371+J417+J427+J460</f>
        <v>23453512.407500003</v>
      </c>
      <c r="K462" s="376">
        <f>+H462-J462</f>
        <v>0</v>
      </c>
      <c r="L462" s="390"/>
      <c r="M462" s="5">
        <f>+H462-J462</f>
        <v>0</v>
      </c>
    </row>
    <row r="463" spans="1:18" ht="22.5" customHeight="1" thickTop="1" x14ac:dyDescent="0.25">
      <c r="D463" s="46" t="s">
        <v>0</v>
      </c>
      <c r="K463" s="391"/>
    </row>
    <row r="671" spans="4:4" ht="12.75" customHeight="1" x14ac:dyDescent="0.25">
      <c r="D671" s="30"/>
    </row>
  </sheetData>
  <mergeCells count="47">
    <mergeCell ref="D173:F173"/>
    <mergeCell ref="D185:F185"/>
    <mergeCell ref="D202:F202"/>
    <mergeCell ref="D74:F74"/>
    <mergeCell ref="D45:F45"/>
    <mergeCell ref="D197:F197"/>
    <mergeCell ref="D9:F9"/>
    <mergeCell ref="D110:F110"/>
    <mergeCell ref="D116:F116"/>
    <mergeCell ref="D104:F104"/>
    <mergeCell ref="D15:F15"/>
    <mergeCell ref="D21:F21"/>
    <mergeCell ref="D39:F39"/>
    <mergeCell ref="D92:F92"/>
    <mergeCell ref="D33:F33"/>
    <mergeCell ref="A1:J1"/>
    <mergeCell ref="A3:J3"/>
    <mergeCell ref="D56:F56"/>
    <mergeCell ref="L460:N460"/>
    <mergeCell ref="D345:E345"/>
    <mergeCell ref="D234:F234"/>
    <mergeCell ref="D260:F260"/>
    <mergeCell ref="D460:F460"/>
    <mergeCell ref="D314:F314"/>
    <mergeCell ref="D371:F371"/>
    <mergeCell ref="D417:F417"/>
    <mergeCell ref="D427:F427"/>
    <mergeCell ref="D266:F266"/>
    <mergeCell ref="D272:F272"/>
    <mergeCell ref="D243:F243"/>
    <mergeCell ref="D278:F278"/>
    <mergeCell ref="D5:F5"/>
    <mergeCell ref="D284:F284"/>
    <mergeCell ref="D51:F51"/>
    <mergeCell ref="D27:F27"/>
    <mergeCell ref="D233:F233"/>
    <mergeCell ref="D98:F98"/>
    <mergeCell ref="D179:F179"/>
    <mergeCell ref="D222:F222"/>
    <mergeCell ref="D208:F208"/>
    <mergeCell ref="D191:F191"/>
    <mergeCell ref="D80:F80"/>
    <mergeCell ref="D86:F86"/>
    <mergeCell ref="D62:F62"/>
    <mergeCell ref="D122:F122"/>
    <mergeCell ref="D68:F68"/>
    <mergeCell ref="D216:F216"/>
  </mergeCells>
  <pageMargins left="7.874015748031496E-2" right="7.874015748031496E-2" top="0.59055118110236227" bottom="0.55118110236220474" header="0.51181102362204722" footer="0.31496062992125984"/>
  <pageSetup scale="80" orientation="portrait" r:id="rId1"/>
  <rowBreaks count="7" manualBreakCount="7">
    <brk id="52" max="11" man="1"/>
    <brk id="116" max="11" man="1"/>
    <brk id="186" max="11" man="1"/>
    <brk id="243" max="11" man="1"/>
    <brk id="306" max="11" man="1"/>
    <brk id="371" max="11" man="1"/>
    <brk id="43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BE81B-8987-47F5-AC80-6D19F5FEC6E4}">
  <dimension ref="A1:Y74"/>
  <sheetViews>
    <sheetView topLeftCell="A37" zoomScale="114" zoomScaleNormal="114" zoomScaleSheetLayoutView="39" workbookViewId="0">
      <selection activeCell="D29" sqref="D29"/>
    </sheetView>
  </sheetViews>
  <sheetFormatPr baseColWidth="10" defaultColWidth="11.42578125" defaultRowHeight="12.75" x14ac:dyDescent="0.2"/>
  <cols>
    <col min="1" max="1" width="1.7109375" style="117" customWidth="1"/>
    <col min="2" max="2" width="10" style="117" customWidth="1"/>
    <col min="3" max="3" width="7.85546875" style="263" customWidth="1"/>
    <col min="4" max="4" width="40.28515625" style="117" customWidth="1"/>
    <col min="5" max="5" width="12.5703125" style="400" customWidth="1"/>
    <col min="6" max="6" width="0.28515625" style="117" customWidth="1"/>
    <col min="7" max="7" width="15.5703125" style="587" customWidth="1"/>
    <col min="8" max="8" width="0.42578125" style="400" customWidth="1"/>
    <col min="9" max="9" width="12.140625" style="400" customWidth="1"/>
    <col min="10" max="10" width="0.28515625" style="400" customWidth="1"/>
    <col min="11" max="11" width="16.85546875" style="400" customWidth="1"/>
    <col min="12" max="12" width="0.28515625" style="400" customWidth="1"/>
    <col min="13" max="13" width="12.28515625" style="400" customWidth="1"/>
    <col min="14" max="14" width="14.140625" style="117" customWidth="1"/>
    <col min="15" max="15" width="16.42578125" style="117" customWidth="1"/>
    <col min="16" max="16" width="13.7109375" style="117" customWidth="1"/>
    <col min="17" max="17" width="11.28515625" style="117" customWidth="1"/>
    <col min="18" max="18" width="14.5703125" style="117" bestFit="1" customWidth="1"/>
    <col min="19" max="19" width="13.85546875" style="117" customWidth="1"/>
    <col min="20" max="23" width="11.42578125" style="117"/>
    <col min="24" max="25" width="13.140625" style="117" bestFit="1" customWidth="1"/>
    <col min="26" max="16384" width="11.42578125" style="117"/>
  </cols>
  <sheetData>
    <row r="1" spans="1:19" ht="11.25" customHeight="1" x14ac:dyDescent="0.2">
      <c r="C1" s="863"/>
      <c r="D1" s="863"/>
      <c r="E1" s="863"/>
      <c r="F1" s="863"/>
      <c r="G1" s="863"/>
      <c r="H1" s="863"/>
      <c r="I1" s="863"/>
      <c r="J1" s="863"/>
      <c r="K1" s="863"/>
      <c r="L1" s="863"/>
      <c r="M1" s="863"/>
    </row>
    <row r="2" spans="1:19" ht="33" customHeight="1" x14ac:dyDescent="0.55000000000000004">
      <c r="A2" s="864" t="s">
        <v>108</v>
      </c>
      <c r="B2" s="864"/>
      <c r="C2" s="864"/>
      <c r="D2" s="864"/>
      <c r="E2" s="864"/>
      <c r="F2" s="864"/>
      <c r="G2" s="864"/>
      <c r="H2" s="864"/>
      <c r="I2" s="864"/>
      <c r="J2" s="864"/>
      <c r="K2" s="864"/>
      <c r="L2" s="864"/>
      <c r="M2" s="864"/>
    </row>
    <row r="3" spans="1:19" ht="9.75" customHeight="1" x14ac:dyDescent="0.35">
      <c r="A3" s="865"/>
      <c r="B3" s="865"/>
      <c r="C3" s="865"/>
      <c r="D3" s="865"/>
      <c r="E3" s="865"/>
      <c r="F3" s="865"/>
      <c r="G3" s="865"/>
      <c r="H3" s="865"/>
      <c r="I3" s="865"/>
      <c r="J3" s="865"/>
      <c r="K3" s="865"/>
      <c r="L3" s="865"/>
      <c r="M3" s="865"/>
    </row>
    <row r="4" spans="1:19" ht="21" customHeight="1" x14ac:dyDescent="0.4">
      <c r="A4" s="866" t="s">
        <v>826</v>
      </c>
      <c r="B4" s="866"/>
      <c r="C4" s="866"/>
      <c r="D4" s="866"/>
      <c r="E4" s="866"/>
      <c r="F4" s="866"/>
      <c r="G4" s="866"/>
      <c r="H4" s="866"/>
      <c r="I4" s="866"/>
      <c r="J4" s="866"/>
      <c r="K4" s="866"/>
      <c r="L4" s="866"/>
      <c r="M4" s="866"/>
      <c r="R4" s="130"/>
    </row>
    <row r="5" spans="1:19" ht="12" customHeight="1" x14ac:dyDescent="0.2">
      <c r="C5" s="863"/>
      <c r="D5" s="863"/>
      <c r="E5" s="863"/>
      <c r="F5" s="863"/>
      <c r="G5" s="863"/>
      <c r="H5" s="863"/>
      <c r="I5" s="863"/>
      <c r="J5" s="863"/>
      <c r="K5" s="863"/>
      <c r="L5" s="863"/>
      <c r="M5" s="863"/>
    </row>
    <row r="6" spans="1:19" ht="23.25" customHeight="1" x14ac:dyDescent="0.2">
      <c r="B6" s="262" t="s">
        <v>596</v>
      </c>
      <c r="C6" s="262" t="s">
        <v>111</v>
      </c>
      <c r="D6" s="262" t="s">
        <v>827</v>
      </c>
      <c r="E6" s="450" t="s">
        <v>109</v>
      </c>
      <c r="F6" s="262"/>
      <c r="G6" s="450" t="s">
        <v>204</v>
      </c>
      <c r="H6" s="450"/>
      <c r="I6" s="450" t="s">
        <v>205</v>
      </c>
      <c r="J6" s="450"/>
      <c r="K6" s="450" t="s">
        <v>206</v>
      </c>
      <c r="L6" s="450"/>
      <c r="M6" s="450" t="s">
        <v>126</v>
      </c>
      <c r="O6" s="130"/>
    </row>
    <row r="7" spans="1:19" ht="24.75" customHeight="1" x14ac:dyDescent="0.2">
      <c r="B7" s="247">
        <v>46143</v>
      </c>
      <c r="C7" s="462" t="s">
        <v>850</v>
      </c>
      <c r="D7" s="463" t="s">
        <v>851</v>
      </c>
      <c r="E7" s="495">
        <v>320000</v>
      </c>
      <c r="F7" s="494"/>
      <c r="G7" s="697">
        <v>0</v>
      </c>
      <c r="H7" s="430"/>
      <c r="I7" s="495">
        <v>0</v>
      </c>
      <c r="J7" s="430"/>
      <c r="K7" s="495">
        <v>0</v>
      </c>
      <c r="L7" s="495"/>
      <c r="M7" s="719">
        <f t="shared" ref="M7" si="0">SUM(E7:K7)</f>
        <v>320000</v>
      </c>
      <c r="N7" s="124"/>
      <c r="O7" s="125"/>
      <c r="P7" s="125"/>
      <c r="Q7" s="219"/>
      <c r="R7" s="219"/>
      <c r="S7" s="219"/>
    </row>
    <row r="8" spans="1:19" ht="17.25" customHeight="1" x14ac:dyDescent="0.2">
      <c r="B8" s="247">
        <v>46143</v>
      </c>
      <c r="C8" s="462" t="s">
        <v>854</v>
      </c>
      <c r="D8" s="463" t="s">
        <v>828</v>
      </c>
      <c r="E8" s="495">
        <v>35159.22</v>
      </c>
      <c r="F8" s="494"/>
      <c r="G8" s="697">
        <v>0</v>
      </c>
      <c r="H8" s="430"/>
      <c r="I8" s="495">
        <v>0</v>
      </c>
      <c r="J8" s="430"/>
      <c r="K8" s="495">
        <v>0</v>
      </c>
      <c r="L8" s="495"/>
      <c r="M8" s="719">
        <f t="shared" ref="M8:M16" si="1">SUM(E8:K8)</f>
        <v>35159.22</v>
      </c>
      <c r="N8" s="124"/>
      <c r="O8" s="125"/>
      <c r="P8" s="125"/>
      <c r="Q8" s="219"/>
      <c r="R8" s="219"/>
      <c r="S8" s="219"/>
    </row>
    <row r="9" spans="1:19" ht="17.25" customHeight="1" x14ac:dyDescent="0.2">
      <c r="B9" s="247">
        <v>46154</v>
      </c>
      <c r="C9" s="462" t="s">
        <v>874</v>
      </c>
      <c r="D9" s="463" t="s">
        <v>829</v>
      </c>
      <c r="E9" s="495">
        <v>1776500</v>
      </c>
      <c r="F9" s="494"/>
      <c r="G9" s="698">
        <v>125048.46</v>
      </c>
      <c r="H9" s="430"/>
      <c r="I9" s="456">
        <v>126131.5</v>
      </c>
      <c r="J9" s="430"/>
      <c r="K9" s="456">
        <v>17115.55</v>
      </c>
      <c r="L9" s="495"/>
      <c r="M9" s="719">
        <f t="shared" si="1"/>
        <v>2044795.51</v>
      </c>
      <c r="N9" s="121"/>
      <c r="O9" s="125"/>
      <c r="P9" s="125"/>
      <c r="Q9" s="219"/>
      <c r="R9" s="219"/>
      <c r="S9" s="219"/>
    </row>
    <row r="10" spans="1:19" ht="17.25" customHeight="1" x14ac:dyDescent="0.2">
      <c r="B10" s="247">
        <v>46154</v>
      </c>
      <c r="C10" s="462" t="s">
        <v>875</v>
      </c>
      <c r="D10" s="174" t="s">
        <v>830</v>
      </c>
      <c r="E10" s="456">
        <v>1522000</v>
      </c>
      <c r="F10" s="494"/>
      <c r="G10" s="698">
        <v>107909.8</v>
      </c>
      <c r="H10" s="430"/>
      <c r="I10" s="456">
        <v>108062</v>
      </c>
      <c r="J10" s="430"/>
      <c r="K10" s="456">
        <v>16035.62</v>
      </c>
      <c r="L10" s="495"/>
      <c r="M10" s="719">
        <f t="shared" si="1"/>
        <v>1754007.4200000002</v>
      </c>
      <c r="N10" s="121"/>
      <c r="O10" s="125"/>
      <c r="P10" s="125"/>
      <c r="Q10" s="219"/>
      <c r="R10" s="219"/>
      <c r="S10" s="219"/>
    </row>
    <row r="11" spans="1:19" ht="18.75" customHeight="1" x14ac:dyDescent="0.2">
      <c r="B11" s="247">
        <v>46154</v>
      </c>
      <c r="C11" s="462" t="s">
        <v>877</v>
      </c>
      <c r="D11" s="463" t="s">
        <v>831</v>
      </c>
      <c r="E11" s="493">
        <v>140000</v>
      </c>
      <c r="F11" s="494"/>
      <c r="G11" s="698">
        <v>9926</v>
      </c>
      <c r="H11" s="430"/>
      <c r="I11" s="456">
        <v>9940</v>
      </c>
      <c r="J11" s="430"/>
      <c r="K11" s="456">
        <v>1021.81</v>
      </c>
      <c r="L11" s="495"/>
      <c r="M11" s="719">
        <f t="shared" si="1"/>
        <v>160887.81</v>
      </c>
      <c r="N11" s="121"/>
      <c r="O11" s="434"/>
      <c r="P11" s="125"/>
      <c r="Q11" s="219"/>
      <c r="R11" s="219"/>
      <c r="S11" s="219"/>
    </row>
    <row r="12" spans="1:19" ht="18" customHeight="1" x14ac:dyDescent="0.2">
      <c r="B12" s="247">
        <v>46154</v>
      </c>
      <c r="C12" s="462" t="s">
        <v>876</v>
      </c>
      <c r="D12" s="463" t="s">
        <v>832</v>
      </c>
      <c r="E12" s="493">
        <v>332000</v>
      </c>
      <c r="F12" s="494"/>
      <c r="G12" s="697">
        <v>0</v>
      </c>
      <c r="H12" s="430"/>
      <c r="I12" s="495">
        <v>0</v>
      </c>
      <c r="J12" s="430"/>
      <c r="K12" s="495">
        <v>0</v>
      </c>
      <c r="L12" s="495"/>
      <c r="M12" s="719">
        <f t="shared" si="1"/>
        <v>332000</v>
      </c>
      <c r="N12" s="121"/>
      <c r="O12" s="125"/>
      <c r="P12" s="125"/>
      <c r="Q12" s="219"/>
      <c r="R12" s="219"/>
      <c r="S12" s="219"/>
    </row>
    <row r="13" spans="1:19" ht="17.25" customHeight="1" x14ac:dyDescent="0.2">
      <c r="B13" s="247">
        <v>46162</v>
      </c>
      <c r="C13" s="462" t="s">
        <v>887</v>
      </c>
      <c r="D13" s="463" t="s">
        <v>833</v>
      </c>
      <c r="E13" s="495">
        <v>75000</v>
      </c>
      <c r="F13" s="494"/>
      <c r="G13" s="697">
        <v>5317.5</v>
      </c>
      <c r="H13" s="430"/>
      <c r="I13" s="495">
        <v>5325</v>
      </c>
      <c r="J13" s="430"/>
      <c r="K13" s="495">
        <v>581.80999999999995</v>
      </c>
      <c r="L13" s="495"/>
      <c r="M13" s="719">
        <f t="shared" si="1"/>
        <v>86224.31</v>
      </c>
      <c r="N13" s="124"/>
      <c r="O13" s="125"/>
      <c r="P13" s="125"/>
      <c r="Q13" s="219"/>
      <c r="R13" s="219"/>
      <c r="S13" s="219"/>
    </row>
    <row r="14" spans="1:19" ht="18" customHeight="1" x14ac:dyDescent="0.2">
      <c r="B14" s="247">
        <v>46162</v>
      </c>
      <c r="C14" s="462" t="s">
        <v>888</v>
      </c>
      <c r="D14" s="463" t="s">
        <v>889</v>
      </c>
      <c r="E14" s="495">
        <v>41532.07</v>
      </c>
      <c r="F14" s="494"/>
      <c r="G14" s="697">
        <v>0</v>
      </c>
      <c r="H14" s="430"/>
      <c r="I14" s="495">
        <v>0</v>
      </c>
      <c r="J14" s="430"/>
      <c r="K14" s="495">
        <v>0</v>
      </c>
      <c r="L14" s="495"/>
      <c r="M14" s="719">
        <f t="shared" si="1"/>
        <v>41532.07</v>
      </c>
      <c r="N14" s="124"/>
      <c r="O14" s="125"/>
      <c r="P14" s="125"/>
      <c r="Q14" s="219"/>
      <c r="R14" s="219"/>
      <c r="S14" s="219"/>
    </row>
    <row r="15" spans="1:19" ht="24.75" customHeight="1" x14ac:dyDescent="0.2">
      <c r="B15" s="247">
        <v>46163</v>
      </c>
      <c r="C15" s="462" t="s">
        <v>890</v>
      </c>
      <c r="D15" s="463" t="s">
        <v>891</v>
      </c>
      <c r="E15" s="495">
        <v>105000</v>
      </c>
      <c r="F15" s="494"/>
      <c r="G15" s="697">
        <v>0</v>
      </c>
      <c r="H15" s="430"/>
      <c r="I15" s="495">
        <v>0</v>
      </c>
      <c r="J15" s="430"/>
      <c r="K15" s="495">
        <v>0</v>
      </c>
      <c r="L15" s="495"/>
      <c r="M15" s="719">
        <f t="shared" si="1"/>
        <v>105000</v>
      </c>
      <c r="N15" s="124"/>
      <c r="O15" s="125"/>
      <c r="P15" s="125"/>
      <c r="Q15" s="219"/>
      <c r="R15" s="219"/>
      <c r="S15" s="219"/>
    </row>
    <row r="16" spans="1:19" ht="24.75" customHeight="1" x14ac:dyDescent="0.2">
      <c r="B16" s="247">
        <v>46167</v>
      </c>
      <c r="C16" s="462" t="s">
        <v>893</v>
      </c>
      <c r="D16" s="463" t="s">
        <v>892</v>
      </c>
      <c r="E16" s="562">
        <v>3291583.33</v>
      </c>
      <c r="F16" s="494"/>
      <c r="G16" s="699">
        <v>0</v>
      </c>
      <c r="H16" s="430"/>
      <c r="I16" s="562">
        <v>0</v>
      </c>
      <c r="J16" s="430"/>
      <c r="K16" s="562">
        <v>0</v>
      </c>
      <c r="L16" s="495"/>
      <c r="M16" s="722">
        <f t="shared" si="1"/>
        <v>3291583.33</v>
      </c>
      <c r="N16" s="124"/>
      <c r="O16" s="125"/>
      <c r="P16" s="125"/>
      <c r="Q16" s="219"/>
      <c r="R16" s="219"/>
      <c r="S16" s="219"/>
    </row>
    <row r="17" spans="1:16" ht="18.75" customHeight="1" thickBot="1" x14ac:dyDescent="0.25">
      <c r="D17" s="268" t="s">
        <v>110</v>
      </c>
      <c r="E17" s="465">
        <f>SUM(E7:E16)</f>
        <v>7638774.6200000001</v>
      </c>
      <c r="F17" s="466">
        <f>SUM(F13:F13)</f>
        <v>0</v>
      </c>
      <c r="G17" s="465">
        <f>SUM(G7:G16)</f>
        <v>248201.76</v>
      </c>
      <c r="H17" s="467"/>
      <c r="I17" s="465">
        <f>SUM(I7:I16)</f>
        <v>249458.5</v>
      </c>
      <c r="J17" s="467"/>
      <c r="K17" s="465">
        <f>SUM(K7:K16)</f>
        <v>34754.789999999994</v>
      </c>
      <c r="L17" s="467">
        <f>SUM(L9:M13)</f>
        <v>4377915.05</v>
      </c>
      <c r="M17" s="465">
        <f>SUM(M7:M16)</f>
        <v>8171189.6699999999</v>
      </c>
      <c r="N17" s="158"/>
      <c r="O17" s="130"/>
    </row>
    <row r="18" spans="1:16" ht="12.75" customHeight="1" thickTop="1" x14ac:dyDescent="0.2">
      <c r="A18" s="863"/>
      <c r="B18" s="863"/>
      <c r="C18" s="863"/>
      <c r="D18" s="863"/>
      <c r="E18" s="863"/>
      <c r="F18" s="863"/>
      <c r="G18" s="863"/>
      <c r="H18" s="863"/>
      <c r="I18" s="863"/>
      <c r="J18" s="863"/>
      <c r="K18" s="863"/>
      <c r="L18" s="863"/>
      <c r="M18" s="863"/>
      <c r="N18" s="121"/>
    </row>
    <row r="19" spans="1:16" ht="18.75" customHeight="1" thickBot="1" x14ac:dyDescent="0.25">
      <c r="D19" s="497" t="s">
        <v>207</v>
      </c>
      <c r="E19" s="467">
        <f>+M17</f>
        <v>8171189.6699999999</v>
      </c>
      <c r="F19" s="118"/>
      <c r="G19" s="397"/>
      <c r="H19" s="411"/>
      <c r="I19" s="411"/>
      <c r="J19" s="411"/>
      <c r="K19" s="411"/>
      <c r="L19" s="411"/>
      <c r="M19" s="411"/>
      <c r="N19" s="121"/>
    </row>
    <row r="20" spans="1:16" ht="12" customHeight="1" thickTop="1" x14ac:dyDescent="0.2">
      <c r="D20" s="266"/>
      <c r="E20" s="401"/>
      <c r="F20" s="118"/>
      <c r="G20" s="493"/>
      <c r="H20" s="411"/>
      <c r="I20" s="411"/>
      <c r="J20" s="411"/>
      <c r="K20" s="411"/>
      <c r="L20" s="411"/>
      <c r="M20" s="411"/>
      <c r="N20" s="125"/>
      <c r="O20" s="121"/>
      <c r="P20" s="121"/>
    </row>
    <row r="21" spans="1:16" ht="17.25" customHeight="1" x14ac:dyDescent="0.2">
      <c r="B21" s="263"/>
      <c r="D21" s="268" t="s">
        <v>114</v>
      </c>
      <c r="E21" s="457"/>
      <c r="F21" s="121"/>
      <c r="G21" s="397"/>
      <c r="H21" s="411"/>
      <c r="I21" s="411"/>
      <c r="J21" s="411"/>
      <c r="K21" s="411"/>
      <c r="L21" s="411"/>
      <c r="M21" s="700"/>
      <c r="O21" s="121"/>
      <c r="P21" s="125"/>
    </row>
    <row r="22" spans="1:16" ht="22.5" customHeight="1" x14ac:dyDescent="0.2">
      <c r="B22" s="262" t="s">
        <v>596</v>
      </c>
      <c r="C22" s="265" t="s">
        <v>111</v>
      </c>
      <c r="D22" s="268" t="s">
        <v>112</v>
      </c>
      <c r="E22" s="451" t="s">
        <v>302</v>
      </c>
      <c r="F22" s="269"/>
      <c r="G22" s="701" t="s">
        <v>113</v>
      </c>
      <c r="H22" s="451"/>
      <c r="I22" s="451" t="s">
        <v>653</v>
      </c>
      <c r="J22" s="451"/>
      <c r="K22" s="451" t="s">
        <v>14</v>
      </c>
      <c r="L22" s="451"/>
      <c r="M22" s="430"/>
      <c r="O22" s="295"/>
      <c r="P22" s="125"/>
    </row>
    <row r="23" spans="1:16" ht="15.75" customHeight="1" x14ac:dyDescent="0.2">
      <c r="B23" s="714">
        <v>46143</v>
      </c>
      <c r="C23" s="498" t="s">
        <v>852</v>
      </c>
      <c r="D23" s="486" t="s">
        <v>853</v>
      </c>
      <c r="E23" s="485">
        <v>100</v>
      </c>
      <c r="F23" s="430"/>
      <c r="G23" s="720">
        <v>29530.09</v>
      </c>
      <c r="H23" s="430"/>
      <c r="I23" s="498" t="s">
        <v>523</v>
      </c>
      <c r="J23" s="430"/>
      <c r="K23" s="671" t="s">
        <v>364</v>
      </c>
      <c r="L23" s="430"/>
      <c r="M23" s="430"/>
      <c r="N23" s="121"/>
      <c r="O23" s="121"/>
    </row>
    <row r="24" spans="1:16" ht="15.75" customHeight="1" x14ac:dyDescent="0.2">
      <c r="B24" s="714">
        <v>46143</v>
      </c>
      <c r="C24" s="498" t="s">
        <v>855</v>
      </c>
      <c r="D24" s="486" t="s">
        <v>856</v>
      </c>
      <c r="E24" s="485">
        <v>100</v>
      </c>
      <c r="F24" s="430"/>
      <c r="G24" s="720">
        <v>43683.6</v>
      </c>
      <c r="H24" s="430"/>
      <c r="I24" s="498" t="s">
        <v>330</v>
      </c>
      <c r="J24" s="430"/>
      <c r="K24" s="671" t="s">
        <v>857</v>
      </c>
      <c r="L24" s="430"/>
      <c r="M24" s="430"/>
      <c r="N24" s="121"/>
      <c r="O24" s="121"/>
    </row>
    <row r="25" spans="1:16" ht="15.75" customHeight="1" x14ac:dyDescent="0.2">
      <c r="B25" s="714">
        <v>46143</v>
      </c>
      <c r="C25" s="498" t="s">
        <v>858</v>
      </c>
      <c r="D25" s="486" t="s">
        <v>859</v>
      </c>
      <c r="E25" s="485">
        <v>100</v>
      </c>
      <c r="F25" s="430"/>
      <c r="G25" s="720">
        <v>26314</v>
      </c>
      <c r="H25" s="430"/>
      <c r="I25" s="498" t="s">
        <v>330</v>
      </c>
      <c r="J25" s="430"/>
      <c r="K25" s="671" t="s">
        <v>736</v>
      </c>
      <c r="L25" s="430"/>
      <c r="M25" s="430"/>
      <c r="N25" s="121"/>
      <c r="O25" s="121"/>
    </row>
    <row r="26" spans="1:16" ht="15" customHeight="1" x14ac:dyDescent="0.2">
      <c r="B26" s="247">
        <v>46147</v>
      </c>
      <c r="C26" s="464" t="s">
        <v>861</v>
      </c>
      <c r="D26" s="174" t="s">
        <v>713</v>
      </c>
      <c r="E26" s="485">
        <v>100</v>
      </c>
      <c r="F26" s="270"/>
      <c r="G26" s="720">
        <v>22974</v>
      </c>
      <c r="H26" s="430"/>
      <c r="I26" s="498" t="s">
        <v>330</v>
      </c>
      <c r="J26" s="430"/>
      <c r="K26" s="499" t="s">
        <v>609</v>
      </c>
      <c r="L26" s="411"/>
      <c r="M26" s="411"/>
      <c r="N26" s="121"/>
    </row>
    <row r="27" spans="1:16" ht="15" customHeight="1" x14ac:dyDescent="0.2">
      <c r="B27" s="247">
        <v>46149</v>
      </c>
      <c r="C27" s="498" t="s">
        <v>863</v>
      </c>
      <c r="D27" s="121" t="s">
        <v>864</v>
      </c>
      <c r="E27" s="485">
        <v>100</v>
      </c>
      <c r="F27" s="270"/>
      <c r="G27" s="723">
        <v>239426.8</v>
      </c>
      <c r="H27" s="430"/>
      <c r="I27" s="498" t="s">
        <v>330</v>
      </c>
      <c r="J27" s="430"/>
      <c r="K27" s="499" t="s">
        <v>714</v>
      </c>
      <c r="L27" s="430"/>
      <c r="M27" s="430"/>
    </row>
    <row r="28" spans="1:16" ht="18" customHeight="1" x14ac:dyDescent="0.2">
      <c r="B28" s="247">
        <v>46149</v>
      </c>
      <c r="C28" s="464" t="s">
        <v>865</v>
      </c>
      <c r="D28" s="174" t="s">
        <v>866</v>
      </c>
      <c r="E28" s="485">
        <v>100</v>
      </c>
      <c r="F28" s="270"/>
      <c r="G28" s="720">
        <v>10030</v>
      </c>
      <c r="H28" s="430"/>
      <c r="I28" s="498" t="s">
        <v>523</v>
      </c>
      <c r="J28" s="430"/>
      <c r="K28" s="499" t="s">
        <v>729</v>
      </c>
      <c r="L28" s="499"/>
      <c r="M28" s="499"/>
      <c r="N28" s="121"/>
    </row>
    <row r="29" spans="1:16" ht="15" customHeight="1" x14ac:dyDescent="0.2">
      <c r="B29" s="247">
        <v>46154</v>
      </c>
      <c r="C29" s="464" t="s">
        <v>867</v>
      </c>
      <c r="D29" s="174" t="s">
        <v>704</v>
      </c>
      <c r="E29" s="485">
        <v>100</v>
      </c>
      <c r="F29" s="270"/>
      <c r="G29" s="721">
        <v>5935.72</v>
      </c>
      <c r="H29" s="430"/>
      <c r="I29" s="498" t="s">
        <v>330</v>
      </c>
      <c r="J29" s="430"/>
      <c r="K29" s="499" t="s">
        <v>609</v>
      </c>
      <c r="L29" s="411"/>
      <c r="M29" s="411"/>
      <c r="N29" s="121"/>
    </row>
    <row r="30" spans="1:16" ht="15" customHeight="1" x14ac:dyDescent="0.2">
      <c r="B30" s="247"/>
      <c r="C30" s="264"/>
      <c r="D30" s="268" t="s">
        <v>110</v>
      </c>
      <c r="E30" s="435"/>
      <c r="F30" s="121"/>
      <c r="G30" s="692">
        <f>SUM(G23:G29)</f>
        <v>377894.20999999996</v>
      </c>
      <c r="H30" s="453"/>
      <c r="I30" s="436"/>
      <c r="J30" s="411"/>
      <c r="K30" s="452"/>
      <c r="L30" s="411"/>
      <c r="M30" s="411"/>
      <c r="N30" s="121"/>
    </row>
    <row r="31" spans="1:16" ht="10.5" customHeight="1" x14ac:dyDescent="0.2">
      <c r="B31" s="247"/>
      <c r="C31" s="264"/>
      <c r="D31" s="268"/>
      <c r="E31" s="435"/>
      <c r="F31" s="121"/>
      <c r="G31" s="692"/>
      <c r="H31" s="453"/>
      <c r="I31" s="436"/>
      <c r="J31" s="411"/>
      <c r="K31" s="452"/>
      <c r="L31" s="411"/>
      <c r="M31" s="411"/>
      <c r="N31" s="121"/>
    </row>
    <row r="32" spans="1:16" ht="19.5" customHeight="1" x14ac:dyDescent="0.2">
      <c r="B32" s="262" t="s">
        <v>596</v>
      </c>
      <c r="C32" s="265" t="s">
        <v>111</v>
      </c>
      <c r="D32" s="268" t="s">
        <v>112</v>
      </c>
      <c r="E32" s="451" t="s">
        <v>302</v>
      </c>
      <c r="F32" s="269"/>
      <c r="G32" s="701" t="s">
        <v>113</v>
      </c>
      <c r="H32" s="451"/>
      <c r="I32" s="451" t="s">
        <v>653</v>
      </c>
      <c r="J32" s="451"/>
      <c r="K32" s="451" t="s">
        <v>14</v>
      </c>
      <c r="L32" s="451"/>
      <c r="M32" s="430"/>
      <c r="O32" s="295"/>
      <c r="P32" s="125"/>
    </row>
    <row r="33" spans="2:15" ht="18" customHeight="1" x14ac:dyDescent="0.2">
      <c r="B33" s="247">
        <v>46147</v>
      </c>
      <c r="C33" s="464" t="s">
        <v>860</v>
      </c>
      <c r="D33" s="174" t="s">
        <v>613</v>
      </c>
      <c r="E33" s="485">
        <v>100</v>
      </c>
      <c r="F33" s="270"/>
      <c r="G33" s="720">
        <v>120722.3</v>
      </c>
      <c r="H33" s="430"/>
      <c r="I33" s="498" t="s">
        <v>330</v>
      </c>
      <c r="J33" s="430"/>
      <c r="K33" s="499" t="s">
        <v>609</v>
      </c>
      <c r="L33" s="499"/>
      <c r="M33" s="499"/>
      <c r="N33" s="121"/>
    </row>
    <row r="34" spans="2:15" ht="15.75" customHeight="1" x14ac:dyDescent="0.2">
      <c r="B34" s="247">
        <v>46148</v>
      </c>
      <c r="C34" s="464" t="s">
        <v>862</v>
      </c>
      <c r="D34" s="486" t="s">
        <v>715</v>
      </c>
      <c r="E34" s="485">
        <v>100</v>
      </c>
      <c r="F34" s="270"/>
      <c r="G34" s="720">
        <v>14452.5</v>
      </c>
      <c r="H34" s="430"/>
      <c r="I34" s="498" t="s">
        <v>330</v>
      </c>
      <c r="J34" s="430"/>
      <c r="K34" s="671" t="s">
        <v>716</v>
      </c>
      <c r="L34" s="430"/>
      <c r="M34" s="430"/>
      <c r="N34" s="121"/>
      <c r="O34" s="121"/>
    </row>
    <row r="35" spans="2:15" ht="18" customHeight="1" x14ac:dyDescent="0.2">
      <c r="B35" s="247">
        <v>46154</v>
      </c>
      <c r="C35" s="464" t="s">
        <v>869</v>
      </c>
      <c r="D35" s="174" t="s">
        <v>866</v>
      </c>
      <c r="E35" s="485">
        <v>100</v>
      </c>
      <c r="F35" s="270"/>
      <c r="G35" s="720">
        <v>8732</v>
      </c>
      <c r="H35" s="430"/>
      <c r="I35" s="498" t="s">
        <v>523</v>
      </c>
      <c r="J35" s="430"/>
      <c r="K35" s="499" t="s">
        <v>729</v>
      </c>
      <c r="L35" s="499"/>
      <c r="M35" s="499"/>
      <c r="N35" s="121"/>
    </row>
    <row r="36" spans="2:15" ht="15.75" customHeight="1" x14ac:dyDescent="0.2">
      <c r="B36" s="247">
        <v>46154</v>
      </c>
      <c r="C36" s="464" t="s">
        <v>870</v>
      </c>
      <c r="D36" s="486" t="s">
        <v>634</v>
      </c>
      <c r="E36" s="485">
        <v>100</v>
      </c>
      <c r="F36" s="270"/>
      <c r="G36" s="720">
        <v>22184</v>
      </c>
      <c r="H36" s="430"/>
      <c r="I36" s="498" t="s">
        <v>330</v>
      </c>
      <c r="J36" s="430"/>
      <c r="K36" s="671" t="s">
        <v>635</v>
      </c>
      <c r="L36" s="430"/>
      <c r="M36" s="430"/>
      <c r="N36" s="121"/>
      <c r="O36" s="121"/>
    </row>
    <row r="37" spans="2:15" ht="21" customHeight="1" x14ac:dyDescent="0.2">
      <c r="B37" s="714">
        <v>46155</v>
      </c>
      <c r="C37" s="498" t="s">
        <v>882</v>
      </c>
      <c r="D37" s="715" t="s">
        <v>883</v>
      </c>
      <c r="E37" s="485">
        <v>100</v>
      </c>
      <c r="F37" s="430"/>
      <c r="G37" s="720">
        <v>2183</v>
      </c>
      <c r="H37" s="430"/>
      <c r="I37" s="498" t="s">
        <v>523</v>
      </c>
      <c r="J37" s="430"/>
      <c r="K37" s="499" t="s">
        <v>886</v>
      </c>
      <c r="L37" s="430"/>
      <c r="M37" s="430"/>
      <c r="N37" s="121"/>
    </row>
    <row r="38" spans="2:15" ht="21" customHeight="1" x14ac:dyDescent="0.2">
      <c r="B38" s="714">
        <v>46155</v>
      </c>
      <c r="C38" s="498" t="s">
        <v>882</v>
      </c>
      <c r="D38" s="715" t="s">
        <v>883</v>
      </c>
      <c r="E38" s="485">
        <v>100</v>
      </c>
      <c r="F38" s="430"/>
      <c r="G38" s="720">
        <v>248705.06</v>
      </c>
      <c r="H38" s="430"/>
      <c r="I38" s="498" t="s">
        <v>884</v>
      </c>
      <c r="J38" s="430"/>
      <c r="K38" s="499" t="s">
        <v>885</v>
      </c>
      <c r="L38" s="430"/>
      <c r="M38" s="430"/>
      <c r="N38" s="121"/>
    </row>
    <row r="39" spans="2:15" ht="15.75" customHeight="1" x14ac:dyDescent="0.2">
      <c r="B39" s="247">
        <v>46155</v>
      </c>
      <c r="C39" s="464" t="s">
        <v>881</v>
      </c>
      <c r="D39" s="486" t="s">
        <v>606</v>
      </c>
      <c r="E39" s="485">
        <v>100</v>
      </c>
      <c r="F39" s="270"/>
      <c r="G39" s="720">
        <v>91570.06</v>
      </c>
      <c r="H39" s="430"/>
      <c r="I39" s="498" t="s">
        <v>330</v>
      </c>
      <c r="J39" s="430"/>
      <c r="K39" s="671" t="s">
        <v>620</v>
      </c>
      <c r="L39" s="430"/>
      <c r="M39" s="430"/>
      <c r="N39" s="121"/>
      <c r="O39" s="121"/>
    </row>
    <row r="40" spans="2:15" ht="19.5" customHeight="1" x14ac:dyDescent="0.2">
      <c r="B40" s="247">
        <v>46160</v>
      </c>
      <c r="C40" s="464" t="s">
        <v>880</v>
      </c>
      <c r="D40" s="463" t="s">
        <v>799</v>
      </c>
      <c r="E40" s="485">
        <v>100</v>
      </c>
      <c r="F40" s="270"/>
      <c r="G40" s="431">
        <v>294624.76</v>
      </c>
      <c r="H40" s="430"/>
      <c r="I40" s="498">
        <v>2.2000000000000002</v>
      </c>
      <c r="J40" s="486"/>
      <c r="K40" s="486" t="s">
        <v>712</v>
      </c>
      <c r="L40" s="430"/>
      <c r="M40" s="430"/>
      <c r="N40" s="124"/>
    </row>
    <row r="41" spans="2:15" ht="15" customHeight="1" x14ac:dyDescent="0.2">
      <c r="B41" s="247">
        <v>46160</v>
      </c>
      <c r="C41" s="464" t="s">
        <v>879</v>
      </c>
      <c r="D41" s="512" t="s">
        <v>725</v>
      </c>
      <c r="E41" s="485">
        <v>100</v>
      </c>
      <c r="F41" s="672"/>
      <c r="G41" s="431">
        <v>64005.64</v>
      </c>
      <c r="H41" s="430"/>
      <c r="I41" s="498" t="s">
        <v>330</v>
      </c>
      <c r="J41" s="430"/>
      <c r="K41" s="499" t="s">
        <v>726</v>
      </c>
      <c r="L41" s="430"/>
      <c r="M41" s="430"/>
      <c r="N41" s="121"/>
    </row>
    <row r="42" spans="2:15" ht="15.75" customHeight="1" x14ac:dyDescent="0.2">
      <c r="B42" s="247">
        <v>46164</v>
      </c>
      <c r="C42" s="464" t="s">
        <v>894</v>
      </c>
      <c r="D42" s="486" t="s">
        <v>715</v>
      </c>
      <c r="E42" s="485">
        <v>100</v>
      </c>
      <c r="F42" s="270"/>
      <c r="G42" s="431">
        <v>44407.519999999997</v>
      </c>
      <c r="H42" s="430"/>
      <c r="I42" s="498" t="s">
        <v>330</v>
      </c>
      <c r="J42" s="430"/>
      <c r="K42" s="671" t="s">
        <v>716</v>
      </c>
      <c r="L42" s="430"/>
      <c r="M42" s="430"/>
      <c r="N42" s="121"/>
      <c r="O42" s="121"/>
    </row>
    <row r="43" spans="2:15" ht="15" customHeight="1" x14ac:dyDescent="0.2">
      <c r="B43" s="247">
        <v>46168</v>
      </c>
      <c r="C43" s="464" t="s">
        <v>895</v>
      </c>
      <c r="D43" s="174" t="s">
        <v>896</v>
      </c>
      <c r="E43" s="485">
        <v>100</v>
      </c>
      <c r="F43" s="672"/>
      <c r="G43" s="431">
        <v>13688</v>
      </c>
      <c r="H43" s="430"/>
      <c r="I43" s="498" t="s">
        <v>523</v>
      </c>
      <c r="J43" s="430"/>
      <c r="K43" s="499" t="s">
        <v>897</v>
      </c>
      <c r="L43" s="430"/>
      <c r="M43" s="430"/>
      <c r="N43" s="121"/>
    </row>
    <row r="44" spans="2:15" ht="15" customHeight="1" x14ac:dyDescent="0.2">
      <c r="B44" s="247">
        <v>46168</v>
      </c>
      <c r="C44" s="673" t="s">
        <v>898</v>
      </c>
      <c r="D44" s="137" t="s">
        <v>540</v>
      </c>
      <c r="E44" s="674">
        <v>100</v>
      </c>
      <c r="F44" s="364"/>
      <c r="G44" s="431">
        <v>17254.650000000001</v>
      </c>
      <c r="H44" s="431"/>
      <c r="I44" s="675" t="s">
        <v>330</v>
      </c>
      <c r="J44" s="431"/>
      <c r="K44" s="676" t="s">
        <v>607</v>
      </c>
      <c r="L44" s="430"/>
      <c r="M44" s="430"/>
      <c r="N44" s="397"/>
    </row>
    <row r="45" spans="2:15" ht="15" customHeight="1" x14ac:dyDescent="0.2">
      <c r="B45" s="247">
        <v>46168</v>
      </c>
      <c r="C45" s="673" t="s">
        <v>899</v>
      </c>
      <c r="D45" s="137" t="s">
        <v>727</v>
      </c>
      <c r="E45" s="674">
        <v>100</v>
      </c>
      <c r="F45" s="364"/>
      <c r="G45" s="431">
        <v>152268.57</v>
      </c>
      <c r="H45" s="431"/>
      <c r="I45" s="675" t="s">
        <v>330</v>
      </c>
      <c r="J45" s="431"/>
      <c r="K45" s="676" t="s">
        <v>728</v>
      </c>
      <c r="L45" s="430"/>
      <c r="M45" s="430"/>
      <c r="N45" s="397"/>
    </row>
    <row r="46" spans="2:15" ht="15" customHeight="1" x14ac:dyDescent="0.2">
      <c r="B46" s="247">
        <v>46169</v>
      </c>
      <c r="C46" s="498" t="s">
        <v>900</v>
      </c>
      <c r="D46" s="121" t="s">
        <v>864</v>
      </c>
      <c r="E46" s="485">
        <v>102</v>
      </c>
      <c r="F46" s="270"/>
      <c r="G46" s="724">
        <v>235575.6</v>
      </c>
      <c r="H46" s="430"/>
      <c r="I46" s="498" t="s">
        <v>330</v>
      </c>
      <c r="J46" s="430"/>
      <c r="K46" s="499" t="s">
        <v>714</v>
      </c>
      <c r="L46" s="430"/>
      <c r="M46" s="430"/>
      <c r="N46" s="121"/>
    </row>
    <row r="47" spans="2:15" ht="15" customHeight="1" x14ac:dyDescent="0.2">
      <c r="B47" s="247">
        <v>46169</v>
      </c>
      <c r="C47" s="498" t="s">
        <v>901</v>
      </c>
      <c r="D47" s="121" t="s">
        <v>902</v>
      </c>
      <c r="E47" s="485">
        <v>100</v>
      </c>
      <c r="F47" s="270"/>
      <c r="G47" s="431">
        <v>12744</v>
      </c>
      <c r="H47" s="430"/>
      <c r="I47" s="498" t="s">
        <v>330</v>
      </c>
      <c r="J47" s="430"/>
      <c r="K47" s="499" t="s">
        <v>903</v>
      </c>
      <c r="L47" s="430"/>
      <c r="M47" s="430"/>
      <c r="N47" s="121"/>
    </row>
    <row r="48" spans="2:15" ht="18" customHeight="1" x14ac:dyDescent="0.2">
      <c r="B48" s="247">
        <v>46169</v>
      </c>
      <c r="C48" s="464" t="s">
        <v>904</v>
      </c>
      <c r="D48" s="174" t="s">
        <v>866</v>
      </c>
      <c r="E48" s="485">
        <v>100</v>
      </c>
      <c r="F48" s="270"/>
      <c r="G48" s="431">
        <v>8850</v>
      </c>
      <c r="H48" s="430"/>
      <c r="I48" s="498" t="s">
        <v>523</v>
      </c>
      <c r="J48" s="430"/>
      <c r="K48" s="499" t="s">
        <v>729</v>
      </c>
      <c r="L48" s="499"/>
      <c r="M48" s="499"/>
      <c r="N48" s="121"/>
    </row>
    <row r="49" spans="2:25" ht="18" customHeight="1" x14ac:dyDescent="0.2">
      <c r="B49" s="247">
        <v>46170</v>
      </c>
      <c r="C49" s="464" t="s">
        <v>905</v>
      </c>
      <c r="D49" s="174" t="s">
        <v>906</v>
      </c>
      <c r="E49" s="485">
        <v>100</v>
      </c>
      <c r="F49" s="270"/>
      <c r="G49" s="431">
        <v>143950.21</v>
      </c>
      <c r="H49" s="430"/>
      <c r="I49" s="498" t="s">
        <v>330</v>
      </c>
      <c r="J49" s="430"/>
      <c r="K49" s="499" t="s">
        <v>907</v>
      </c>
      <c r="L49" s="499"/>
      <c r="M49" s="499"/>
      <c r="N49" s="121"/>
    </row>
    <row r="50" spans="2:25" ht="15" customHeight="1" x14ac:dyDescent="0.2">
      <c r="B50" s="247">
        <v>46170</v>
      </c>
      <c r="C50" s="464" t="s">
        <v>908</v>
      </c>
      <c r="D50" s="174" t="s">
        <v>713</v>
      </c>
      <c r="E50" s="485">
        <v>100</v>
      </c>
      <c r="F50" s="270"/>
      <c r="G50" s="431">
        <v>19968</v>
      </c>
      <c r="H50" s="430"/>
      <c r="I50" s="498" t="s">
        <v>330</v>
      </c>
      <c r="J50" s="430"/>
      <c r="K50" s="499" t="s">
        <v>609</v>
      </c>
      <c r="L50" s="121"/>
      <c r="M50" s="121"/>
      <c r="N50" s="121"/>
    </row>
    <row r="51" spans="2:25" ht="15" customHeight="1" x14ac:dyDescent="0.2">
      <c r="B51" s="247">
        <v>46170</v>
      </c>
      <c r="C51" s="464" t="s">
        <v>909</v>
      </c>
      <c r="D51" s="174" t="s">
        <v>910</v>
      </c>
      <c r="E51" s="485">
        <v>100</v>
      </c>
      <c r="F51" s="270"/>
      <c r="G51" s="431">
        <v>279125</v>
      </c>
      <c r="H51" s="430"/>
      <c r="I51" s="498" t="s">
        <v>330</v>
      </c>
      <c r="J51" s="430"/>
      <c r="K51" s="499" t="s">
        <v>911</v>
      </c>
      <c r="L51" s="121"/>
      <c r="M51" s="121"/>
      <c r="N51" s="121"/>
    </row>
    <row r="52" spans="2:25" ht="15" customHeight="1" x14ac:dyDescent="0.2">
      <c r="B52" s="247">
        <v>46170</v>
      </c>
      <c r="C52" s="498" t="s">
        <v>912</v>
      </c>
      <c r="D52" s="121" t="s">
        <v>913</v>
      </c>
      <c r="E52" s="485">
        <v>100</v>
      </c>
      <c r="F52" s="270"/>
      <c r="G52" s="431">
        <v>100000</v>
      </c>
      <c r="H52" s="430"/>
      <c r="I52" s="498" t="s">
        <v>330</v>
      </c>
      <c r="J52" s="430"/>
      <c r="K52" s="499" t="s">
        <v>914</v>
      </c>
      <c r="L52" s="430"/>
      <c r="M52" s="430"/>
      <c r="N52" s="121"/>
    </row>
    <row r="53" spans="2:25" ht="15" customHeight="1" x14ac:dyDescent="0.2">
      <c r="B53" s="247">
        <v>46171</v>
      </c>
      <c r="C53" s="464" t="s">
        <v>915</v>
      </c>
      <c r="D53" s="174" t="s">
        <v>916</v>
      </c>
      <c r="E53" s="485">
        <v>100</v>
      </c>
      <c r="F53" s="672"/>
      <c r="G53" s="579">
        <v>4259.8</v>
      </c>
      <c r="H53" s="430"/>
      <c r="I53" s="498" t="s">
        <v>330</v>
      </c>
      <c r="J53" s="430"/>
      <c r="K53" s="499" t="s">
        <v>917</v>
      </c>
      <c r="L53" s="430"/>
      <c r="M53" s="430"/>
      <c r="N53" s="121"/>
    </row>
    <row r="54" spans="2:25" ht="17.25" customHeight="1" x14ac:dyDescent="0.2">
      <c r="D54" s="330" t="s">
        <v>126</v>
      </c>
      <c r="E54" s="486"/>
      <c r="F54" s="270"/>
      <c r="G54" s="702">
        <f>SUM(G33:G53)</f>
        <v>1899270.6700000002</v>
      </c>
      <c r="H54" s="411"/>
      <c r="I54" s="411"/>
      <c r="J54" s="411"/>
      <c r="K54" s="454"/>
      <c r="L54" s="703"/>
      <c r="M54" s="411"/>
      <c r="N54" s="124" t="e">
        <f>SUM(#REF!)</f>
        <v>#REF!</v>
      </c>
      <c r="O54" s="121">
        <f>SUM(G45:G53)</f>
        <v>956741.18</v>
      </c>
    </row>
    <row r="55" spans="2:25" ht="20.25" customHeight="1" thickBot="1" x14ac:dyDescent="0.25">
      <c r="D55" s="330" t="s">
        <v>252</v>
      </c>
      <c r="E55" s="486"/>
      <c r="F55" s="270"/>
      <c r="G55" s="704">
        <f>E19+G30+G54</f>
        <v>10448354.549999999</v>
      </c>
      <c r="H55" s="411"/>
      <c r="L55" s="411"/>
      <c r="M55" s="411"/>
      <c r="N55" s="124"/>
      <c r="O55" s="124">
        <f>SUM(O54:O54)</f>
        <v>956741.18</v>
      </c>
    </row>
    <row r="56" spans="2:25" ht="20.25" customHeight="1" thickTop="1" x14ac:dyDescent="0.2">
      <c r="D56" s="330"/>
      <c r="E56" s="486"/>
      <c r="F56" s="270"/>
      <c r="G56" s="716"/>
      <c r="H56" s="411"/>
      <c r="L56" s="411"/>
      <c r="M56" s="411"/>
      <c r="N56" s="124"/>
      <c r="O56" s="124"/>
    </row>
    <row r="57" spans="2:25" ht="20.25" customHeight="1" x14ac:dyDescent="0.2">
      <c r="D57" s="330"/>
      <c r="E57" s="486"/>
      <c r="F57" s="270"/>
      <c r="G57" s="716"/>
      <c r="H57" s="411"/>
      <c r="L57" s="411"/>
      <c r="M57" s="411"/>
      <c r="N57" s="124"/>
      <c r="O57" s="124"/>
    </row>
    <row r="58" spans="2:25" ht="20.25" customHeight="1" x14ac:dyDescent="0.2">
      <c r="D58" s="330"/>
      <c r="E58" s="486"/>
      <c r="F58" s="270"/>
      <c r="G58" s="716">
        <f>+G55-G46</f>
        <v>10212778.949999999</v>
      </c>
      <c r="H58" s="411"/>
      <c r="L58" s="411"/>
      <c r="M58" s="411"/>
      <c r="N58" s="124"/>
      <c r="O58" s="124"/>
    </row>
    <row r="59" spans="2:25" ht="20.25" customHeight="1" x14ac:dyDescent="0.2">
      <c r="D59" s="330"/>
      <c r="E59" s="486"/>
      <c r="F59" s="270"/>
      <c r="G59" s="716"/>
      <c r="H59" s="411"/>
      <c r="L59" s="411"/>
      <c r="M59" s="411"/>
      <c r="N59" s="124"/>
      <c r="O59" s="124"/>
    </row>
    <row r="60" spans="2:25" ht="11.25" customHeight="1" x14ac:dyDescent="0.2">
      <c r="D60" s="330"/>
      <c r="E60" s="486"/>
      <c r="F60" s="270"/>
      <c r="G60" s="692"/>
      <c r="H60" s="411"/>
      <c r="L60" s="411"/>
      <c r="M60" s="411"/>
      <c r="N60" s="124"/>
    </row>
    <row r="61" spans="2:25" ht="27.75" customHeight="1" x14ac:dyDescent="0.2">
      <c r="E61" s="455" t="s">
        <v>225</v>
      </c>
      <c r="F61" s="271"/>
      <c r="G61" s="705" t="s">
        <v>224</v>
      </c>
      <c r="H61" s="455"/>
      <c r="I61" s="455" t="s">
        <v>213</v>
      </c>
      <c r="J61" s="411"/>
      <c r="K61" s="455"/>
      <c r="L61" s="411"/>
      <c r="M61" s="411"/>
      <c r="N61" s="121"/>
      <c r="O61" s="121"/>
    </row>
    <row r="62" spans="2:25" ht="5.25" customHeight="1" x14ac:dyDescent="0.2">
      <c r="E62" s="455"/>
      <c r="F62" s="271"/>
      <c r="G62" s="705"/>
      <c r="H62" s="455"/>
      <c r="I62" s="455"/>
      <c r="J62" s="411"/>
      <c r="K62" s="455"/>
      <c r="L62" s="411"/>
      <c r="M62" s="411"/>
      <c r="N62" s="121"/>
    </row>
    <row r="63" spans="2:25" ht="15.75" customHeight="1" x14ac:dyDescent="0.2">
      <c r="D63" s="174">
        <v>2.1</v>
      </c>
      <c r="E63" s="430">
        <f>+E19</f>
        <v>8171189.6699999999</v>
      </c>
      <c r="F63" s="270"/>
      <c r="G63" s="456">
        <v>8171189.6699999999</v>
      </c>
      <c r="H63" s="430"/>
      <c r="I63" s="456">
        <f>+E63-G63</f>
        <v>0</v>
      </c>
      <c r="J63" s="411"/>
      <c r="K63" s="457"/>
      <c r="L63" s="411"/>
      <c r="M63" s="411"/>
      <c r="O63" s="121"/>
    </row>
    <row r="64" spans="2:25" ht="15.75" customHeight="1" x14ac:dyDescent="0.2">
      <c r="D64" s="174">
        <v>2.2000000000000002</v>
      </c>
      <c r="E64" s="430">
        <f>G26+G27+G29+G24+G25+G33+G34+G36+G39+G41+G40+G42+G44+G45+G46+G47+G49+G50+G51+G52+G53</f>
        <v>1955446.7300000002</v>
      </c>
      <c r="F64" s="270"/>
      <c r="G64" s="456">
        <v>1955446.73</v>
      </c>
      <c r="H64" s="430"/>
      <c r="I64" s="456">
        <f t="shared" ref="I64:I67" si="2">+E64-G64</f>
        <v>0</v>
      </c>
      <c r="J64" s="411">
        <v>267390.58</v>
      </c>
      <c r="K64" s="458"/>
      <c r="L64" s="411"/>
      <c r="M64" s="453"/>
      <c r="N64" s="125"/>
      <c r="O64" s="125"/>
      <c r="P64" s="125"/>
      <c r="Q64" s="219"/>
      <c r="R64" s="219"/>
      <c r="S64" s="219">
        <v>46584.28</v>
      </c>
      <c r="T64" s="219">
        <v>100000</v>
      </c>
      <c r="U64" s="219">
        <v>187431.2</v>
      </c>
      <c r="V64" s="158">
        <f>SUM(N64:U64)</f>
        <v>334015.48</v>
      </c>
      <c r="W64" s="219">
        <v>81763.38</v>
      </c>
      <c r="X64" s="130">
        <v>180044</v>
      </c>
      <c r="Y64" s="158">
        <f>SUM(V64:X64)</f>
        <v>595822.86</v>
      </c>
    </row>
    <row r="65" spans="2:22" ht="15.75" customHeight="1" x14ac:dyDescent="0.2">
      <c r="D65" s="174">
        <v>2.2999999999999998</v>
      </c>
      <c r="E65" s="430">
        <f>G28+G23+G35+G37+G43+G48</f>
        <v>73013.09</v>
      </c>
      <c r="F65" s="270"/>
      <c r="G65" s="456">
        <v>73013.09</v>
      </c>
      <c r="H65" s="430"/>
      <c r="I65" s="456">
        <f>+E65-G65</f>
        <v>0</v>
      </c>
      <c r="J65" s="411"/>
      <c r="K65" s="457"/>
      <c r="L65" s="411"/>
      <c r="M65" s="453"/>
      <c r="N65" s="121"/>
      <c r="O65" s="307"/>
      <c r="P65" s="125"/>
      <c r="Q65" s="155"/>
      <c r="R65" s="219"/>
      <c r="S65" s="155">
        <f>SUM(Q65:R65)</f>
        <v>0</v>
      </c>
      <c r="T65" s="219"/>
      <c r="U65" s="219"/>
      <c r="V65" s="219"/>
    </row>
    <row r="66" spans="2:22" ht="15.75" customHeight="1" x14ac:dyDescent="0.2">
      <c r="D66" s="174">
        <v>2.4</v>
      </c>
      <c r="E66" s="456">
        <v>0</v>
      </c>
      <c r="F66" s="270"/>
      <c r="G66" s="698">
        <v>0</v>
      </c>
      <c r="H66" s="430"/>
      <c r="I66" s="456">
        <f t="shared" si="2"/>
        <v>0</v>
      </c>
      <c r="J66" s="411"/>
      <c r="K66" s="457"/>
      <c r="L66" s="411"/>
      <c r="M66" s="411"/>
      <c r="N66" s="121"/>
      <c r="O66" s="130"/>
    </row>
    <row r="67" spans="2:22" ht="15.75" customHeight="1" x14ac:dyDescent="0.2">
      <c r="D67" s="174">
        <v>2.6</v>
      </c>
      <c r="E67" s="643">
        <f>+G38</f>
        <v>248705.06</v>
      </c>
      <c r="F67" s="270"/>
      <c r="G67" s="699">
        <v>248705.06</v>
      </c>
      <c r="H67" s="430"/>
      <c r="I67" s="562">
        <f t="shared" si="2"/>
        <v>0</v>
      </c>
      <c r="J67" s="411"/>
      <c r="K67" s="457"/>
      <c r="L67" s="457"/>
      <c r="M67" s="411"/>
      <c r="N67" s="121"/>
      <c r="O67" s="314"/>
      <c r="P67" s="118"/>
    </row>
    <row r="68" spans="2:22" ht="19.5" customHeight="1" thickBot="1" x14ac:dyDescent="0.25">
      <c r="D68" s="121"/>
      <c r="E68" s="460">
        <f>SUM(E63:E67)</f>
        <v>10448354.550000001</v>
      </c>
      <c r="F68" s="331">
        <f>SUM(F63:F67)</f>
        <v>0</v>
      </c>
      <c r="G68" s="706">
        <f>SUM(G63:G67)</f>
        <v>10448354.550000001</v>
      </c>
      <c r="H68" s="459">
        <f>SUM(H63:H67)</f>
        <v>0</v>
      </c>
      <c r="I68" s="460">
        <f>SUM(I63:I67)</f>
        <v>0</v>
      </c>
      <c r="J68" s="411"/>
      <c r="K68" s="411"/>
      <c r="L68" s="411"/>
      <c r="M68" s="411"/>
      <c r="N68" s="121"/>
      <c r="O68" s="272"/>
      <c r="P68" s="124"/>
    </row>
    <row r="69" spans="2:22" ht="12.75" customHeight="1" thickTop="1" x14ac:dyDescent="0.2">
      <c r="D69" s="121"/>
      <c r="E69" s="459">
        <f>+G55-E68</f>
        <v>0</v>
      </c>
      <c r="F69" s="119"/>
      <c r="G69" s="707"/>
      <c r="H69" s="401"/>
      <c r="I69" s="401"/>
      <c r="J69" s="411"/>
      <c r="K69" s="411"/>
      <c r="L69" s="411"/>
      <c r="M69" s="411"/>
      <c r="N69" s="121"/>
      <c r="O69" s="272"/>
      <c r="P69" s="124"/>
    </row>
    <row r="70" spans="2:22" ht="2.25" customHeight="1" x14ac:dyDescent="0.2">
      <c r="B70" s="860"/>
      <c r="C70" s="860"/>
      <c r="D70" s="860"/>
      <c r="E70" s="860"/>
      <c r="F70" s="860"/>
      <c r="G70" s="860"/>
      <c r="H70" s="860"/>
      <c r="I70" s="860"/>
      <c r="J70" s="860"/>
      <c r="K70" s="860"/>
      <c r="L70" s="860"/>
      <c r="M70" s="860"/>
      <c r="N70" s="121"/>
      <c r="O70" s="272"/>
      <c r="P70" s="124"/>
    </row>
    <row r="71" spans="2:22" ht="30" customHeight="1" x14ac:dyDescent="0.2">
      <c r="B71" s="861"/>
      <c r="C71" s="861"/>
      <c r="D71" s="861"/>
      <c r="E71" s="861"/>
      <c r="F71" s="861"/>
      <c r="G71" s="861"/>
      <c r="H71" s="861"/>
      <c r="I71" s="861"/>
      <c r="J71" s="861"/>
      <c r="K71" s="861"/>
      <c r="L71" s="861"/>
      <c r="M71" s="861"/>
      <c r="N71" s="121"/>
      <c r="O71" s="272"/>
      <c r="P71" s="124"/>
    </row>
    <row r="72" spans="2:22" ht="18.75" customHeight="1" x14ac:dyDescent="0.2">
      <c r="C72" s="121"/>
      <c r="E72" s="487"/>
      <c r="F72" s="119"/>
      <c r="G72" s="707"/>
      <c r="H72" s="401"/>
      <c r="I72" s="401"/>
      <c r="J72" s="411"/>
      <c r="K72" s="411"/>
      <c r="L72" s="411"/>
      <c r="M72" s="411"/>
      <c r="N72" s="121"/>
      <c r="O72" s="272"/>
      <c r="P72" s="124"/>
    </row>
    <row r="73" spans="2:22" ht="40.5" customHeight="1" x14ac:dyDescent="0.2">
      <c r="B73" s="862"/>
      <c r="C73" s="862"/>
      <c r="D73" s="862"/>
      <c r="E73" s="862"/>
      <c r="F73" s="862"/>
      <c r="G73" s="862"/>
      <c r="H73" s="862"/>
      <c r="I73" s="862"/>
      <c r="J73" s="862"/>
      <c r="K73" s="862"/>
      <c r="L73" s="862"/>
      <c r="M73" s="862"/>
      <c r="N73" s="121"/>
      <c r="O73" s="272"/>
      <c r="P73" s="124"/>
    </row>
    <row r="74" spans="2:22" ht="24.75" customHeight="1" x14ac:dyDescent="0.2">
      <c r="C74" s="117"/>
      <c r="P74" s="130"/>
    </row>
  </sheetData>
  <mergeCells count="9">
    <mergeCell ref="B70:M70"/>
    <mergeCell ref="B71:M71"/>
    <mergeCell ref="B73:M73"/>
    <mergeCell ref="C1:M1"/>
    <mergeCell ref="A2:M2"/>
    <mergeCell ref="A3:M3"/>
    <mergeCell ref="A4:M4"/>
    <mergeCell ref="C5:M5"/>
    <mergeCell ref="A18:M18"/>
  </mergeCells>
  <pageMargins left="0.15748031496062992" right="0.35433070866141736" top="0.39370078740157483" bottom="0.31496062992125984" header="0.35433070866141736" footer="0.31496062992125984"/>
  <pageSetup scale="76" orientation="portrait" r:id="rId1"/>
  <rowBreaks count="1" manualBreakCount="1">
    <brk id="72" max="16"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11EA-8CC1-43F7-A960-ED4C64961C52}">
  <dimension ref="A1:Y75"/>
  <sheetViews>
    <sheetView topLeftCell="A37" zoomScale="114" zoomScaleNormal="114" zoomScaleSheetLayoutView="39" workbookViewId="0">
      <selection activeCell="E65" sqref="E65"/>
    </sheetView>
  </sheetViews>
  <sheetFormatPr baseColWidth="10" defaultColWidth="11.42578125" defaultRowHeight="12.75" x14ac:dyDescent="0.2"/>
  <cols>
    <col min="1" max="1" width="1.7109375" style="117" customWidth="1"/>
    <col min="2" max="2" width="10" style="117" customWidth="1"/>
    <col min="3" max="3" width="7.85546875" style="263" customWidth="1"/>
    <col min="4" max="4" width="40.28515625" style="117" customWidth="1"/>
    <col min="5" max="5" width="12.5703125" style="400" customWidth="1"/>
    <col min="6" max="6" width="0.28515625" style="117" customWidth="1"/>
    <col min="7" max="7" width="15.5703125" style="587" customWidth="1"/>
    <col min="8" max="8" width="0.42578125" style="400" customWidth="1"/>
    <col min="9" max="9" width="12.140625" style="400" customWidth="1"/>
    <col min="10" max="10" width="0.28515625" style="400" customWidth="1"/>
    <col min="11" max="11" width="16.85546875" style="400" customWidth="1"/>
    <col min="12" max="12" width="0.28515625" style="400" customWidth="1"/>
    <col min="13" max="13" width="12.28515625" style="400" customWidth="1"/>
    <col min="14" max="14" width="14.140625" style="117" customWidth="1"/>
    <col min="15" max="15" width="16.42578125" style="117" customWidth="1"/>
    <col min="16" max="16" width="13.7109375" style="117" customWidth="1"/>
    <col min="17" max="17" width="11.28515625" style="117" customWidth="1"/>
    <col min="18" max="18" width="14.5703125" style="117" bestFit="1" customWidth="1"/>
    <col min="19" max="19" width="13.85546875" style="117" customWidth="1"/>
    <col min="20" max="23" width="11.42578125" style="117"/>
    <col min="24" max="25" width="13.140625" style="117" bestFit="1" customWidth="1"/>
    <col min="26" max="16384" width="11.42578125" style="117"/>
  </cols>
  <sheetData>
    <row r="1" spans="1:19" ht="11.25" customHeight="1" x14ac:dyDescent="0.2">
      <c r="C1" s="863"/>
      <c r="D1" s="863"/>
      <c r="E1" s="863"/>
      <c r="F1" s="863"/>
      <c r="G1" s="863"/>
      <c r="H1" s="863"/>
      <c r="I1" s="863"/>
      <c r="J1" s="863"/>
      <c r="K1" s="863"/>
      <c r="L1" s="863"/>
      <c r="M1" s="863"/>
    </row>
    <row r="2" spans="1:19" ht="33" customHeight="1" x14ac:dyDescent="0.55000000000000004">
      <c r="A2" s="864" t="s">
        <v>108</v>
      </c>
      <c r="B2" s="864"/>
      <c r="C2" s="864"/>
      <c r="D2" s="864"/>
      <c r="E2" s="864"/>
      <c r="F2" s="864"/>
      <c r="G2" s="864"/>
      <c r="H2" s="864"/>
      <c r="I2" s="864"/>
      <c r="J2" s="864"/>
      <c r="K2" s="864"/>
      <c r="L2" s="864"/>
      <c r="M2" s="864"/>
    </row>
    <row r="3" spans="1:19" ht="9.75" customHeight="1" x14ac:dyDescent="0.35">
      <c r="A3" s="865"/>
      <c r="B3" s="865"/>
      <c r="C3" s="865"/>
      <c r="D3" s="865"/>
      <c r="E3" s="865"/>
      <c r="F3" s="865"/>
      <c r="G3" s="865"/>
      <c r="H3" s="865"/>
      <c r="I3" s="865"/>
      <c r="J3" s="865"/>
      <c r="K3" s="865"/>
      <c r="L3" s="865"/>
      <c r="M3" s="865"/>
    </row>
    <row r="4" spans="1:19" ht="21" customHeight="1" x14ac:dyDescent="0.4">
      <c r="A4" s="866" t="s">
        <v>826</v>
      </c>
      <c r="B4" s="866"/>
      <c r="C4" s="866"/>
      <c r="D4" s="866"/>
      <c r="E4" s="866"/>
      <c r="F4" s="866"/>
      <c r="G4" s="866"/>
      <c r="H4" s="866"/>
      <c r="I4" s="866"/>
      <c r="J4" s="866"/>
      <c r="K4" s="866"/>
      <c r="L4" s="866"/>
      <c r="M4" s="866"/>
      <c r="R4" s="130"/>
    </row>
    <row r="5" spans="1:19" ht="12" customHeight="1" x14ac:dyDescent="0.2">
      <c r="C5" s="863"/>
      <c r="D5" s="863"/>
      <c r="E5" s="863"/>
      <c r="F5" s="863"/>
      <c r="G5" s="863"/>
      <c r="H5" s="863"/>
      <c r="I5" s="863"/>
      <c r="J5" s="863"/>
      <c r="K5" s="863"/>
      <c r="L5" s="863"/>
      <c r="M5" s="863"/>
    </row>
    <row r="6" spans="1:19" ht="23.25" customHeight="1" x14ac:dyDescent="0.2">
      <c r="B6" s="262" t="s">
        <v>596</v>
      </c>
      <c r="C6" s="262" t="s">
        <v>111</v>
      </c>
      <c r="D6" s="262" t="s">
        <v>827</v>
      </c>
      <c r="E6" s="450" t="s">
        <v>109</v>
      </c>
      <c r="F6" s="262"/>
      <c r="G6" s="450" t="s">
        <v>204</v>
      </c>
      <c r="H6" s="450"/>
      <c r="I6" s="450" t="s">
        <v>205</v>
      </c>
      <c r="J6" s="450"/>
      <c r="K6" s="450" t="s">
        <v>206</v>
      </c>
      <c r="L6" s="450"/>
      <c r="M6" s="450" t="s">
        <v>126</v>
      </c>
      <c r="O6" s="130"/>
    </row>
    <row r="7" spans="1:19" ht="24.75" customHeight="1" x14ac:dyDescent="0.2">
      <c r="B7" s="247">
        <v>46143</v>
      </c>
      <c r="C7" s="462" t="s">
        <v>850</v>
      </c>
      <c r="D7" s="463" t="s">
        <v>851</v>
      </c>
      <c r="E7" s="495">
        <v>320000</v>
      </c>
      <c r="F7" s="494"/>
      <c r="G7" s="697">
        <v>0</v>
      </c>
      <c r="H7" s="430"/>
      <c r="I7" s="495">
        <v>0</v>
      </c>
      <c r="J7" s="430"/>
      <c r="K7" s="495">
        <v>0</v>
      </c>
      <c r="L7" s="495"/>
      <c r="M7" s="693">
        <f t="shared" ref="M7:M16" si="0">SUM(E7:K7)</f>
        <v>320000</v>
      </c>
      <c r="N7" s="124"/>
      <c r="O7" s="125"/>
      <c r="P7" s="125"/>
      <c r="Q7" s="219"/>
      <c r="R7" s="219"/>
      <c r="S7" s="219"/>
    </row>
    <row r="8" spans="1:19" ht="17.25" customHeight="1" x14ac:dyDescent="0.2">
      <c r="B8" s="247">
        <v>46143</v>
      </c>
      <c r="C8" s="462" t="s">
        <v>854</v>
      </c>
      <c r="D8" s="463" t="s">
        <v>828</v>
      </c>
      <c r="E8" s="495">
        <v>35159.22</v>
      </c>
      <c r="F8" s="494"/>
      <c r="G8" s="697">
        <v>0</v>
      </c>
      <c r="H8" s="430"/>
      <c r="I8" s="495">
        <v>0</v>
      </c>
      <c r="J8" s="430"/>
      <c r="K8" s="495">
        <v>0</v>
      </c>
      <c r="L8" s="495"/>
      <c r="M8" s="693">
        <f t="shared" si="0"/>
        <v>35159.22</v>
      </c>
      <c r="N8" s="124"/>
      <c r="O8" s="125"/>
      <c r="P8" s="125"/>
      <c r="Q8" s="219"/>
      <c r="R8" s="219"/>
      <c r="S8" s="219"/>
    </row>
    <row r="9" spans="1:19" ht="17.25" customHeight="1" x14ac:dyDescent="0.2">
      <c r="B9" s="247">
        <v>46154</v>
      </c>
      <c r="C9" s="462" t="s">
        <v>874</v>
      </c>
      <c r="D9" s="463" t="s">
        <v>829</v>
      </c>
      <c r="E9" s="495">
        <v>1776500</v>
      </c>
      <c r="F9" s="494"/>
      <c r="G9" s="698">
        <v>125048.46</v>
      </c>
      <c r="H9" s="430"/>
      <c r="I9" s="456">
        <v>126131.5</v>
      </c>
      <c r="J9" s="430"/>
      <c r="K9" s="456">
        <v>17115.55</v>
      </c>
      <c r="L9" s="495"/>
      <c r="M9" s="693">
        <f t="shared" si="0"/>
        <v>2044795.51</v>
      </c>
      <c r="N9" s="121"/>
      <c r="O9" s="125"/>
      <c r="P9" s="125"/>
      <c r="Q9" s="219"/>
      <c r="R9" s="219"/>
      <c r="S9" s="219"/>
    </row>
    <row r="10" spans="1:19" ht="17.25" customHeight="1" x14ac:dyDescent="0.2">
      <c r="B10" s="247">
        <v>46154</v>
      </c>
      <c r="C10" s="462" t="s">
        <v>875</v>
      </c>
      <c r="D10" s="174" t="s">
        <v>830</v>
      </c>
      <c r="E10" s="456">
        <v>1522000</v>
      </c>
      <c r="F10" s="494"/>
      <c r="G10" s="698">
        <v>107909.8</v>
      </c>
      <c r="H10" s="430"/>
      <c r="I10" s="456">
        <v>108062</v>
      </c>
      <c r="J10" s="430"/>
      <c r="K10" s="456">
        <v>16035.62</v>
      </c>
      <c r="L10" s="495"/>
      <c r="M10" s="693">
        <f t="shared" si="0"/>
        <v>1754007.4200000002</v>
      </c>
      <c r="N10" s="121"/>
      <c r="O10" s="125"/>
      <c r="P10" s="125"/>
      <c r="Q10" s="219"/>
      <c r="R10" s="219"/>
      <c r="S10" s="219"/>
    </row>
    <row r="11" spans="1:19" ht="18.75" customHeight="1" x14ac:dyDescent="0.2">
      <c r="B11" s="247">
        <v>46154</v>
      </c>
      <c r="C11" s="462" t="s">
        <v>877</v>
      </c>
      <c r="D11" s="463" t="s">
        <v>831</v>
      </c>
      <c r="E11" s="493">
        <v>140000</v>
      </c>
      <c r="F11" s="494"/>
      <c r="G11" s="698">
        <v>9926</v>
      </c>
      <c r="H11" s="430"/>
      <c r="I11" s="456">
        <v>9940</v>
      </c>
      <c r="J11" s="430"/>
      <c r="K11" s="456">
        <v>1021.81</v>
      </c>
      <c r="L11" s="495"/>
      <c r="M11" s="693">
        <f t="shared" si="0"/>
        <v>160887.81</v>
      </c>
      <c r="N11" s="121"/>
      <c r="O11" s="434"/>
      <c r="P11" s="125"/>
      <c r="Q11" s="219"/>
      <c r="R11" s="219"/>
      <c r="S11" s="219"/>
    </row>
    <row r="12" spans="1:19" ht="18" customHeight="1" x14ac:dyDescent="0.2">
      <c r="B12" s="247">
        <v>46154</v>
      </c>
      <c r="C12" s="462" t="s">
        <v>876</v>
      </c>
      <c r="D12" s="463" t="s">
        <v>832</v>
      </c>
      <c r="E12" s="493">
        <v>332000</v>
      </c>
      <c r="F12" s="494"/>
      <c r="G12" s="697">
        <v>0</v>
      </c>
      <c r="H12" s="430"/>
      <c r="I12" s="495">
        <v>0</v>
      </c>
      <c r="J12" s="430"/>
      <c r="K12" s="495">
        <v>0</v>
      </c>
      <c r="L12" s="495"/>
      <c r="M12" s="693">
        <f t="shared" si="0"/>
        <v>332000</v>
      </c>
      <c r="N12" s="121"/>
      <c r="O12" s="125"/>
      <c r="P12" s="125"/>
      <c r="Q12" s="219"/>
      <c r="R12" s="219"/>
      <c r="S12" s="219"/>
    </row>
    <row r="13" spans="1:19" ht="17.25" customHeight="1" x14ac:dyDescent="0.2">
      <c r="B13" s="247">
        <v>46162</v>
      </c>
      <c r="C13" s="462" t="s">
        <v>887</v>
      </c>
      <c r="D13" s="463" t="s">
        <v>833</v>
      </c>
      <c r="E13" s="495">
        <v>75000</v>
      </c>
      <c r="F13" s="494"/>
      <c r="G13" s="697">
        <v>5317.5</v>
      </c>
      <c r="H13" s="430"/>
      <c r="I13" s="495">
        <v>5325</v>
      </c>
      <c r="J13" s="430"/>
      <c r="K13" s="495">
        <v>581.80999999999995</v>
      </c>
      <c r="L13" s="495"/>
      <c r="M13" s="693">
        <f t="shared" si="0"/>
        <v>86224.31</v>
      </c>
      <c r="N13" s="124"/>
      <c r="O13" s="125"/>
      <c r="P13" s="125"/>
      <c r="Q13" s="219"/>
      <c r="R13" s="219"/>
      <c r="S13" s="219"/>
    </row>
    <row r="14" spans="1:19" ht="18" customHeight="1" x14ac:dyDescent="0.2">
      <c r="B14" s="247">
        <v>46162</v>
      </c>
      <c r="C14" s="462" t="s">
        <v>888</v>
      </c>
      <c r="D14" s="463" t="s">
        <v>889</v>
      </c>
      <c r="E14" s="495">
        <v>41532.07</v>
      </c>
      <c r="F14" s="494"/>
      <c r="G14" s="697">
        <v>0</v>
      </c>
      <c r="H14" s="430"/>
      <c r="I14" s="495">
        <v>0</v>
      </c>
      <c r="J14" s="430"/>
      <c r="K14" s="495">
        <v>0</v>
      </c>
      <c r="L14" s="495"/>
      <c r="M14" s="693">
        <f t="shared" si="0"/>
        <v>41532.07</v>
      </c>
      <c r="N14" s="124"/>
      <c r="O14" s="125"/>
      <c r="P14" s="125"/>
      <c r="Q14" s="219"/>
      <c r="R14" s="219"/>
      <c r="S14" s="219"/>
    </row>
    <row r="15" spans="1:19" ht="24.75" customHeight="1" x14ac:dyDescent="0.2">
      <c r="B15" s="247">
        <v>46163</v>
      </c>
      <c r="C15" s="462" t="s">
        <v>890</v>
      </c>
      <c r="D15" s="463" t="s">
        <v>891</v>
      </c>
      <c r="E15" s="495">
        <v>105000</v>
      </c>
      <c r="F15" s="494"/>
      <c r="G15" s="697">
        <v>0</v>
      </c>
      <c r="H15" s="430"/>
      <c r="I15" s="495">
        <v>0</v>
      </c>
      <c r="J15" s="430"/>
      <c r="K15" s="495">
        <v>0</v>
      </c>
      <c r="L15" s="495"/>
      <c r="M15" s="693">
        <f t="shared" si="0"/>
        <v>105000</v>
      </c>
      <c r="N15" s="124"/>
      <c r="O15" s="125"/>
      <c r="P15" s="125"/>
      <c r="Q15" s="219"/>
      <c r="R15" s="219"/>
      <c r="S15" s="219"/>
    </row>
    <row r="16" spans="1:19" ht="24.75" customHeight="1" x14ac:dyDescent="0.2">
      <c r="B16" s="247">
        <v>46167</v>
      </c>
      <c r="C16" s="462" t="s">
        <v>893</v>
      </c>
      <c r="D16" s="463" t="s">
        <v>892</v>
      </c>
      <c r="E16" s="562">
        <v>3291583.33</v>
      </c>
      <c r="F16" s="494"/>
      <c r="G16" s="699">
        <v>0</v>
      </c>
      <c r="H16" s="430"/>
      <c r="I16" s="562">
        <v>0</v>
      </c>
      <c r="J16" s="430"/>
      <c r="K16" s="562">
        <v>0</v>
      </c>
      <c r="L16" s="495"/>
      <c r="M16" s="713">
        <f t="shared" si="0"/>
        <v>3291583.33</v>
      </c>
      <c r="N16" s="124"/>
      <c r="O16" s="125"/>
      <c r="P16" s="125"/>
      <c r="Q16" s="219"/>
      <c r="R16" s="219"/>
      <c r="S16" s="219"/>
    </row>
    <row r="17" spans="1:16" ht="18.75" customHeight="1" thickBot="1" x14ac:dyDescent="0.25">
      <c r="D17" s="268" t="s">
        <v>110</v>
      </c>
      <c r="E17" s="465">
        <f>SUM(E7:E16)</f>
        <v>7638774.6200000001</v>
      </c>
      <c r="F17" s="466">
        <f>SUM(F13:F13)</f>
        <v>0</v>
      </c>
      <c r="G17" s="465">
        <f>SUM(G7:G16)</f>
        <v>248201.76</v>
      </c>
      <c r="H17" s="467"/>
      <c r="I17" s="465">
        <f>SUM(I7:I16)</f>
        <v>249458.5</v>
      </c>
      <c r="J17" s="467"/>
      <c r="K17" s="465">
        <f>SUM(K7:K16)</f>
        <v>34754.789999999994</v>
      </c>
      <c r="L17" s="467">
        <f>SUM(L9:M13)</f>
        <v>4377915.05</v>
      </c>
      <c r="M17" s="465">
        <f>SUM(M7:M16)</f>
        <v>8171189.6699999999</v>
      </c>
      <c r="N17" s="158"/>
      <c r="O17" s="130"/>
    </row>
    <row r="18" spans="1:16" ht="12.75" customHeight="1" thickTop="1" x14ac:dyDescent="0.2">
      <c r="A18" s="863"/>
      <c r="B18" s="863"/>
      <c r="C18" s="863"/>
      <c r="D18" s="863"/>
      <c r="E18" s="863"/>
      <c r="F18" s="863"/>
      <c r="G18" s="863"/>
      <c r="H18" s="863"/>
      <c r="I18" s="863"/>
      <c r="J18" s="863"/>
      <c r="K18" s="863"/>
      <c r="L18" s="863"/>
      <c r="M18" s="863"/>
      <c r="N18" s="121"/>
    </row>
    <row r="19" spans="1:16" ht="18.75" customHeight="1" thickBot="1" x14ac:dyDescent="0.25">
      <c r="D19" s="497" t="s">
        <v>207</v>
      </c>
      <c r="E19" s="467">
        <f>+M17</f>
        <v>8171189.6699999999</v>
      </c>
      <c r="F19" s="118"/>
      <c r="G19" s="397"/>
      <c r="H19" s="411"/>
      <c r="I19" s="411"/>
      <c r="J19" s="411"/>
      <c r="K19" s="411"/>
      <c r="L19" s="411"/>
      <c r="M19" s="411"/>
      <c r="N19" s="121"/>
    </row>
    <row r="20" spans="1:16" ht="12" customHeight="1" thickTop="1" x14ac:dyDescent="0.2">
      <c r="D20" s="266"/>
      <c r="E20" s="401"/>
      <c r="F20" s="118"/>
      <c r="G20" s="493"/>
      <c r="H20" s="411"/>
      <c r="I20" s="411"/>
      <c r="J20" s="411"/>
      <c r="K20" s="411"/>
      <c r="L20" s="411"/>
      <c r="M20" s="411"/>
      <c r="N20" s="125"/>
      <c r="O20" s="121"/>
      <c r="P20" s="121"/>
    </row>
    <row r="21" spans="1:16" ht="22.5" customHeight="1" x14ac:dyDescent="0.2">
      <c r="B21" s="262" t="s">
        <v>596</v>
      </c>
      <c r="C21" s="265" t="s">
        <v>111</v>
      </c>
      <c r="D21" s="268" t="s">
        <v>112</v>
      </c>
      <c r="E21" s="451" t="s">
        <v>302</v>
      </c>
      <c r="F21" s="269"/>
      <c r="G21" s="701" t="s">
        <v>113</v>
      </c>
      <c r="H21" s="451"/>
      <c r="I21" s="451" t="s">
        <v>653</v>
      </c>
      <c r="J21" s="451"/>
      <c r="K21" s="451" t="s">
        <v>14</v>
      </c>
      <c r="L21" s="451"/>
      <c r="M21" s="430"/>
      <c r="O21" s="295"/>
      <c r="P21" s="125"/>
    </row>
    <row r="22" spans="1:16" ht="15.75" customHeight="1" x14ac:dyDescent="0.2">
      <c r="B22" s="714">
        <v>46143</v>
      </c>
      <c r="C22" s="498" t="s">
        <v>855</v>
      </c>
      <c r="D22" s="486" t="s">
        <v>856</v>
      </c>
      <c r="E22" s="485">
        <v>100</v>
      </c>
      <c r="F22" s="430"/>
      <c r="G22" s="431">
        <v>43683.6</v>
      </c>
      <c r="H22" s="430"/>
      <c r="I22" s="498" t="s">
        <v>330</v>
      </c>
      <c r="J22" s="430"/>
      <c r="K22" s="671" t="s">
        <v>857</v>
      </c>
      <c r="L22" s="430"/>
      <c r="M22" s="430"/>
      <c r="N22" s="121"/>
      <c r="O22" s="121"/>
    </row>
    <row r="23" spans="1:16" ht="15.75" customHeight="1" x14ac:dyDescent="0.2">
      <c r="B23" s="714">
        <v>46143</v>
      </c>
      <c r="C23" s="498" t="s">
        <v>858</v>
      </c>
      <c r="D23" s="486" t="s">
        <v>859</v>
      </c>
      <c r="E23" s="485">
        <v>100</v>
      </c>
      <c r="F23" s="430"/>
      <c r="G23" s="431">
        <v>26314</v>
      </c>
      <c r="H23" s="430"/>
      <c r="I23" s="498" t="s">
        <v>330</v>
      </c>
      <c r="J23" s="430"/>
      <c r="K23" s="671" t="s">
        <v>736</v>
      </c>
      <c r="L23" s="430"/>
      <c r="M23" s="430"/>
      <c r="N23" s="121"/>
      <c r="O23" s="121"/>
    </row>
    <row r="24" spans="1:16" ht="15.75" customHeight="1" x14ac:dyDescent="0.2">
      <c r="B24" s="247">
        <v>46147</v>
      </c>
      <c r="C24" s="464" t="s">
        <v>860</v>
      </c>
      <c r="D24" s="174" t="s">
        <v>613</v>
      </c>
      <c r="E24" s="485">
        <v>100</v>
      </c>
      <c r="F24" s="270"/>
      <c r="G24" s="431">
        <v>120722.3</v>
      </c>
      <c r="H24" s="430"/>
      <c r="I24" s="498" t="s">
        <v>330</v>
      </c>
      <c r="J24" s="430"/>
      <c r="K24" s="499" t="s">
        <v>609</v>
      </c>
      <c r="L24" s="430"/>
      <c r="M24" s="430"/>
      <c r="N24" s="121"/>
      <c r="O24" s="121"/>
    </row>
    <row r="25" spans="1:16" ht="15" customHeight="1" x14ac:dyDescent="0.2">
      <c r="B25" s="247">
        <v>46147</v>
      </c>
      <c r="C25" s="464" t="s">
        <v>861</v>
      </c>
      <c r="D25" s="174" t="s">
        <v>713</v>
      </c>
      <c r="E25" s="485">
        <v>100</v>
      </c>
      <c r="F25" s="270"/>
      <c r="G25" s="431">
        <v>22974</v>
      </c>
      <c r="H25" s="430"/>
      <c r="I25" s="498" t="s">
        <v>330</v>
      </c>
      <c r="J25" s="430"/>
      <c r="K25" s="499" t="s">
        <v>609</v>
      </c>
      <c r="L25" s="411"/>
      <c r="M25" s="411"/>
      <c r="N25" s="121"/>
    </row>
    <row r="26" spans="1:16" ht="15" customHeight="1" x14ac:dyDescent="0.2">
      <c r="B26" s="247">
        <v>46148</v>
      </c>
      <c r="C26" s="464" t="s">
        <v>862</v>
      </c>
      <c r="D26" s="486" t="s">
        <v>715</v>
      </c>
      <c r="E26" s="485">
        <v>100</v>
      </c>
      <c r="F26" s="270"/>
      <c r="G26" s="431">
        <v>14452.5</v>
      </c>
      <c r="H26" s="430"/>
      <c r="I26" s="498" t="s">
        <v>330</v>
      </c>
      <c r="J26" s="430"/>
      <c r="K26" s="671" t="s">
        <v>716</v>
      </c>
      <c r="L26" s="430"/>
      <c r="M26" s="430"/>
    </row>
    <row r="27" spans="1:16" ht="18" customHeight="1" x14ac:dyDescent="0.2">
      <c r="B27" s="247">
        <v>46149</v>
      </c>
      <c r="C27" s="498" t="s">
        <v>863</v>
      </c>
      <c r="D27" s="121" t="s">
        <v>864</v>
      </c>
      <c r="E27" s="485">
        <v>100</v>
      </c>
      <c r="F27" s="270"/>
      <c r="G27" s="430">
        <v>239426.8</v>
      </c>
      <c r="H27" s="430"/>
      <c r="I27" s="498" t="s">
        <v>330</v>
      </c>
      <c r="J27" s="430"/>
      <c r="K27" s="499" t="s">
        <v>714</v>
      </c>
      <c r="L27" s="499"/>
      <c r="M27" s="499"/>
      <c r="N27" s="121"/>
    </row>
    <row r="28" spans="1:16" ht="15" customHeight="1" x14ac:dyDescent="0.2">
      <c r="B28" s="247">
        <v>46154</v>
      </c>
      <c r="C28" s="464" t="s">
        <v>867</v>
      </c>
      <c r="D28" s="174" t="s">
        <v>704</v>
      </c>
      <c r="E28" s="485">
        <v>100</v>
      </c>
      <c r="F28" s="270"/>
      <c r="G28" s="431">
        <v>5935.72</v>
      </c>
      <c r="H28" s="430"/>
      <c r="I28" s="498" t="s">
        <v>330</v>
      </c>
      <c r="J28" s="430"/>
      <c r="K28" s="499" t="s">
        <v>609</v>
      </c>
      <c r="L28" s="411"/>
      <c r="M28" s="411"/>
      <c r="N28" s="121"/>
    </row>
    <row r="29" spans="1:16" ht="18" customHeight="1" x14ac:dyDescent="0.2">
      <c r="B29" s="247">
        <v>46154</v>
      </c>
      <c r="C29" s="464" t="s">
        <v>870</v>
      </c>
      <c r="D29" s="486" t="s">
        <v>634</v>
      </c>
      <c r="E29" s="485">
        <v>100</v>
      </c>
      <c r="F29" s="270"/>
      <c r="G29" s="431">
        <v>22184</v>
      </c>
      <c r="H29" s="430"/>
      <c r="I29" s="498" t="s">
        <v>330</v>
      </c>
      <c r="J29" s="430"/>
      <c r="K29" s="671" t="s">
        <v>635</v>
      </c>
      <c r="L29" s="499"/>
      <c r="M29" s="499"/>
      <c r="N29" s="121"/>
    </row>
    <row r="30" spans="1:16" ht="15.75" customHeight="1" x14ac:dyDescent="0.2">
      <c r="B30" s="247">
        <v>46155</v>
      </c>
      <c r="C30" s="464" t="s">
        <v>881</v>
      </c>
      <c r="D30" s="486" t="s">
        <v>606</v>
      </c>
      <c r="E30" s="485">
        <v>100</v>
      </c>
      <c r="F30" s="270"/>
      <c r="G30" s="431">
        <v>91570.06</v>
      </c>
      <c r="H30" s="430"/>
      <c r="I30" s="498" t="s">
        <v>330</v>
      </c>
      <c r="J30" s="430"/>
      <c r="K30" s="671" t="s">
        <v>620</v>
      </c>
      <c r="L30" s="430"/>
      <c r="M30" s="430"/>
      <c r="N30" s="121"/>
      <c r="O30" s="121"/>
    </row>
    <row r="31" spans="1:16" ht="18" customHeight="1" x14ac:dyDescent="0.2">
      <c r="B31" s="247">
        <v>46160</v>
      </c>
      <c r="C31" s="464" t="s">
        <v>880</v>
      </c>
      <c r="D31" s="463" t="s">
        <v>799</v>
      </c>
      <c r="E31" s="485">
        <v>100</v>
      </c>
      <c r="F31" s="270"/>
      <c r="G31" s="431">
        <v>294624.76</v>
      </c>
      <c r="H31" s="430"/>
      <c r="I31" s="498">
        <v>2.2000000000000002</v>
      </c>
      <c r="J31" s="486"/>
      <c r="K31" s="486" t="s">
        <v>712</v>
      </c>
      <c r="L31" s="499"/>
      <c r="M31" s="499"/>
      <c r="N31" s="121"/>
    </row>
    <row r="32" spans="1:16" ht="15.75" customHeight="1" x14ac:dyDescent="0.2">
      <c r="B32" s="247">
        <v>46160</v>
      </c>
      <c r="C32" s="464" t="s">
        <v>879</v>
      </c>
      <c r="D32" s="512" t="s">
        <v>725</v>
      </c>
      <c r="E32" s="485">
        <v>100</v>
      </c>
      <c r="F32" s="672"/>
      <c r="G32" s="431">
        <v>64005.64</v>
      </c>
      <c r="H32" s="430"/>
      <c r="I32" s="498" t="s">
        <v>330</v>
      </c>
      <c r="J32" s="430"/>
      <c r="K32" s="499" t="s">
        <v>726</v>
      </c>
      <c r="L32" s="430"/>
      <c r="M32" s="430"/>
      <c r="N32" s="121"/>
      <c r="O32" s="121"/>
    </row>
    <row r="33" spans="2:15" ht="21" customHeight="1" x14ac:dyDescent="0.2">
      <c r="B33" s="247">
        <v>46164</v>
      </c>
      <c r="C33" s="464" t="s">
        <v>894</v>
      </c>
      <c r="D33" s="486" t="s">
        <v>715</v>
      </c>
      <c r="E33" s="485">
        <v>100</v>
      </c>
      <c r="F33" s="270"/>
      <c r="G33" s="431">
        <v>44407.519999999997</v>
      </c>
      <c r="H33" s="430"/>
      <c r="I33" s="498" t="s">
        <v>330</v>
      </c>
      <c r="J33" s="430"/>
      <c r="K33" s="671" t="s">
        <v>716</v>
      </c>
      <c r="L33" s="430"/>
      <c r="M33" s="430"/>
      <c r="N33" s="121"/>
    </row>
    <row r="34" spans="2:15" ht="21" customHeight="1" x14ac:dyDescent="0.2">
      <c r="B34" s="247">
        <v>46168</v>
      </c>
      <c r="C34" s="673" t="s">
        <v>898</v>
      </c>
      <c r="D34" s="137" t="s">
        <v>540</v>
      </c>
      <c r="E34" s="674">
        <v>100</v>
      </c>
      <c r="F34" s="364"/>
      <c r="G34" s="431">
        <v>17254.650000000001</v>
      </c>
      <c r="H34" s="431"/>
      <c r="I34" s="675" t="s">
        <v>330</v>
      </c>
      <c r="J34" s="431"/>
      <c r="K34" s="676" t="s">
        <v>607</v>
      </c>
      <c r="L34" s="430"/>
      <c r="M34" s="430"/>
      <c r="N34" s="121"/>
    </row>
    <row r="35" spans="2:15" ht="15.75" customHeight="1" x14ac:dyDescent="0.2">
      <c r="B35" s="247">
        <v>46168</v>
      </c>
      <c r="C35" s="673" t="s">
        <v>899</v>
      </c>
      <c r="D35" s="137" t="s">
        <v>727</v>
      </c>
      <c r="E35" s="674">
        <v>100</v>
      </c>
      <c r="F35" s="364"/>
      <c r="G35" s="431">
        <v>152268.57</v>
      </c>
      <c r="H35" s="431"/>
      <c r="I35" s="675" t="s">
        <v>330</v>
      </c>
      <c r="J35" s="431"/>
      <c r="K35" s="676" t="s">
        <v>728</v>
      </c>
      <c r="L35" s="430"/>
      <c r="M35" s="430"/>
      <c r="N35" s="121"/>
      <c r="O35" s="121"/>
    </row>
    <row r="36" spans="2:15" ht="19.5" customHeight="1" x14ac:dyDescent="0.2">
      <c r="B36" s="247">
        <v>46169</v>
      </c>
      <c r="C36" s="498" t="s">
        <v>900</v>
      </c>
      <c r="D36" s="121" t="s">
        <v>864</v>
      </c>
      <c r="E36" s="485">
        <v>100</v>
      </c>
      <c r="F36" s="270"/>
      <c r="G36" s="431">
        <v>235575.6</v>
      </c>
      <c r="H36" s="430"/>
      <c r="I36" s="498" t="s">
        <v>330</v>
      </c>
      <c r="J36" s="430"/>
      <c r="K36" s="499" t="s">
        <v>714</v>
      </c>
      <c r="L36" s="430"/>
      <c r="M36" s="430"/>
      <c r="N36" s="124"/>
    </row>
    <row r="37" spans="2:15" ht="15" customHeight="1" x14ac:dyDescent="0.2">
      <c r="B37" s="247">
        <v>46169</v>
      </c>
      <c r="C37" s="498" t="s">
        <v>901</v>
      </c>
      <c r="D37" s="121" t="s">
        <v>902</v>
      </c>
      <c r="E37" s="485">
        <v>100</v>
      </c>
      <c r="F37" s="270"/>
      <c r="G37" s="431">
        <v>12744</v>
      </c>
      <c r="H37" s="430"/>
      <c r="I37" s="498" t="s">
        <v>330</v>
      </c>
      <c r="J37" s="430"/>
      <c r="K37" s="499" t="s">
        <v>903</v>
      </c>
      <c r="L37" s="430"/>
      <c r="M37" s="430"/>
      <c r="N37" s="121"/>
    </row>
    <row r="38" spans="2:15" ht="15.75" customHeight="1" x14ac:dyDescent="0.2">
      <c r="B38" s="247">
        <v>46170</v>
      </c>
      <c r="C38" s="464" t="s">
        <v>905</v>
      </c>
      <c r="D38" s="174" t="s">
        <v>906</v>
      </c>
      <c r="E38" s="485">
        <v>100</v>
      </c>
      <c r="F38" s="270"/>
      <c r="G38" s="431">
        <v>143950.21</v>
      </c>
      <c r="H38" s="430"/>
      <c r="I38" s="498" t="s">
        <v>330</v>
      </c>
      <c r="J38" s="430"/>
      <c r="K38" s="499" t="s">
        <v>907</v>
      </c>
      <c r="L38" s="430"/>
      <c r="M38" s="430"/>
      <c r="N38" s="121"/>
      <c r="O38" s="121"/>
    </row>
    <row r="39" spans="2:15" ht="15" customHeight="1" x14ac:dyDescent="0.2">
      <c r="B39" s="247">
        <v>46170</v>
      </c>
      <c r="C39" s="464" t="s">
        <v>908</v>
      </c>
      <c r="D39" s="174" t="s">
        <v>713</v>
      </c>
      <c r="E39" s="485">
        <v>100</v>
      </c>
      <c r="F39" s="270"/>
      <c r="G39" s="431">
        <v>19968</v>
      </c>
      <c r="H39" s="430"/>
      <c r="I39" s="498" t="s">
        <v>330</v>
      </c>
      <c r="J39" s="430"/>
      <c r="K39" s="499" t="s">
        <v>609</v>
      </c>
      <c r="L39" s="430"/>
      <c r="M39" s="430"/>
      <c r="N39" s="121"/>
    </row>
    <row r="40" spans="2:15" ht="15" customHeight="1" x14ac:dyDescent="0.2">
      <c r="B40" s="247">
        <v>46170</v>
      </c>
      <c r="C40" s="464" t="s">
        <v>909</v>
      </c>
      <c r="D40" s="174" t="s">
        <v>910</v>
      </c>
      <c r="E40" s="485">
        <v>100</v>
      </c>
      <c r="F40" s="270"/>
      <c r="G40" s="431">
        <v>279125</v>
      </c>
      <c r="H40" s="430"/>
      <c r="I40" s="498" t="s">
        <v>330</v>
      </c>
      <c r="J40" s="430"/>
      <c r="K40" s="499" t="s">
        <v>911</v>
      </c>
      <c r="L40" s="430"/>
      <c r="M40" s="430"/>
      <c r="N40" s="397"/>
    </row>
    <row r="41" spans="2:15" ht="15" customHeight="1" x14ac:dyDescent="0.2">
      <c r="B41" s="247">
        <v>46170</v>
      </c>
      <c r="C41" s="498" t="s">
        <v>912</v>
      </c>
      <c r="D41" s="121" t="s">
        <v>913</v>
      </c>
      <c r="E41" s="485">
        <v>100</v>
      </c>
      <c r="F41" s="270"/>
      <c r="G41" s="431">
        <v>100000</v>
      </c>
      <c r="H41" s="430"/>
      <c r="I41" s="498" t="s">
        <v>330</v>
      </c>
      <c r="J41" s="430"/>
      <c r="K41" s="499" t="s">
        <v>918</v>
      </c>
      <c r="L41" s="430"/>
      <c r="M41" s="430"/>
      <c r="N41" s="397"/>
    </row>
    <row r="42" spans="2:15" ht="15" customHeight="1" x14ac:dyDescent="0.2">
      <c r="B42" s="247">
        <v>46171</v>
      </c>
      <c r="C42" s="464" t="s">
        <v>915</v>
      </c>
      <c r="D42" s="174" t="s">
        <v>916</v>
      </c>
      <c r="E42" s="485">
        <v>100</v>
      </c>
      <c r="F42" s="672"/>
      <c r="G42" s="579">
        <v>4259.8</v>
      </c>
      <c r="H42" s="430"/>
      <c r="I42" s="498" t="s">
        <v>330</v>
      </c>
      <c r="J42" s="430"/>
      <c r="K42" s="499" t="s">
        <v>917</v>
      </c>
      <c r="L42" s="430"/>
      <c r="M42" s="430"/>
      <c r="N42" s="121"/>
    </row>
    <row r="43" spans="2:15" ht="15" customHeight="1" x14ac:dyDescent="0.2">
      <c r="B43" s="247"/>
      <c r="C43" s="464"/>
      <c r="D43" s="174"/>
      <c r="E43" s="485"/>
      <c r="F43" s="672"/>
      <c r="G43" s="692">
        <f>SUM(G22:G42)</f>
        <v>1955446.7300000002</v>
      </c>
      <c r="H43" s="430"/>
      <c r="I43" s="498"/>
      <c r="J43" s="430"/>
      <c r="K43" s="499"/>
      <c r="L43" s="430"/>
      <c r="M43" s="430"/>
      <c r="N43" s="121"/>
    </row>
    <row r="44" spans="2:15" ht="15" customHeight="1" x14ac:dyDescent="0.2">
      <c r="B44" s="247"/>
      <c r="C44" s="464"/>
      <c r="D44" s="174"/>
      <c r="E44" s="485"/>
      <c r="F44" s="672"/>
      <c r="G44" s="431"/>
      <c r="H44" s="430"/>
      <c r="I44" s="498"/>
      <c r="J44" s="430"/>
      <c r="K44" s="499"/>
      <c r="L44" s="430"/>
      <c r="M44" s="430"/>
      <c r="N44" s="121"/>
    </row>
    <row r="45" spans="2:15" ht="15" customHeight="1" x14ac:dyDescent="0.2">
      <c r="B45" s="714">
        <v>46143</v>
      </c>
      <c r="C45" s="498" t="s">
        <v>852</v>
      </c>
      <c r="D45" s="486" t="s">
        <v>853</v>
      </c>
      <c r="E45" s="485">
        <v>100</v>
      </c>
      <c r="F45" s="430"/>
      <c r="G45" s="431">
        <v>29530.09</v>
      </c>
      <c r="H45" s="430"/>
      <c r="I45" s="498" t="s">
        <v>523</v>
      </c>
      <c r="J45" s="430"/>
      <c r="K45" s="671" t="s">
        <v>364</v>
      </c>
      <c r="L45" s="430"/>
      <c r="M45" s="430"/>
      <c r="N45" s="121"/>
    </row>
    <row r="46" spans="2:15" ht="18" customHeight="1" x14ac:dyDescent="0.2">
      <c r="B46" s="247">
        <v>46149</v>
      </c>
      <c r="C46" s="464" t="s">
        <v>865</v>
      </c>
      <c r="D46" s="174" t="s">
        <v>866</v>
      </c>
      <c r="E46" s="485">
        <v>100</v>
      </c>
      <c r="F46" s="270"/>
      <c r="G46" s="431">
        <v>10030</v>
      </c>
      <c r="H46" s="430"/>
      <c r="I46" s="498" t="s">
        <v>523</v>
      </c>
      <c r="J46" s="430"/>
      <c r="K46" s="499" t="s">
        <v>729</v>
      </c>
      <c r="L46" s="499"/>
      <c r="M46" s="499"/>
      <c r="N46" s="121"/>
    </row>
    <row r="47" spans="2:15" ht="18" customHeight="1" x14ac:dyDescent="0.2">
      <c r="B47" s="247">
        <v>46154</v>
      </c>
      <c r="C47" s="464" t="s">
        <v>869</v>
      </c>
      <c r="D47" s="174" t="s">
        <v>866</v>
      </c>
      <c r="E47" s="485">
        <v>100</v>
      </c>
      <c r="F47" s="270"/>
      <c r="G47" s="431">
        <v>8732</v>
      </c>
      <c r="H47" s="430"/>
      <c r="I47" s="498" t="s">
        <v>523</v>
      </c>
      <c r="J47" s="430"/>
      <c r="K47" s="499" t="s">
        <v>729</v>
      </c>
      <c r="L47" s="499"/>
      <c r="M47" s="499"/>
      <c r="N47" s="121"/>
    </row>
    <row r="48" spans="2:15" ht="15" customHeight="1" x14ac:dyDescent="0.2">
      <c r="B48" s="714">
        <v>46155</v>
      </c>
      <c r="C48" s="498" t="s">
        <v>882</v>
      </c>
      <c r="D48" s="715" t="s">
        <v>883</v>
      </c>
      <c r="E48" s="485">
        <v>100</v>
      </c>
      <c r="F48" s="430"/>
      <c r="G48" s="431">
        <v>2183</v>
      </c>
      <c r="H48" s="430"/>
      <c r="I48" s="498" t="s">
        <v>523</v>
      </c>
      <c r="J48" s="430"/>
      <c r="K48" s="499" t="s">
        <v>886</v>
      </c>
      <c r="L48" s="121"/>
      <c r="M48" s="121"/>
      <c r="N48" s="121"/>
    </row>
    <row r="49" spans="2:15" ht="15" customHeight="1" x14ac:dyDescent="0.2">
      <c r="B49" s="247">
        <v>46168</v>
      </c>
      <c r="C49" s="464" t="s">
        <v>895</v>
      </c>
      <c r="D49" s="174" t="s">
        <v>896</v>
      </c>
      <c r="E49" s="485">
        <v>100</v>
      </c>
      <c r="F49" s="672"/>
      <c r="G49" s="431">
        <v>13688</v>
      </c>
      <c r="H49" s="430"/>
      <c r="I49" s="498" t="s">
        <v>523</v>
      </c>
      <c r="J49" s="430"/>
      <c r="K49" s="499" t="s">
        <v>897</v>
      </c>
      <c r="L49" s="121"/>
      <c r="M49" s="121"/>
      <c r="N49" s="121"/>
    </row>
    <row r="50" spans="2:15" ht="15" customHeight="1" x14ac:dyDescent="0.2">
      <c r="B50" s="247">
        <v>46169</v>
      </c>
      <c r="C50" s="464" t="s">
        <v>904</v>
      </c>
      <c r="D50" s="174" t="s">
        <v>866</v>
      </c>
      <c r="E50" s="485">
        <v>100</v>
      </c>
      <c r="F50" s="270"/>
      <c r="G50" s="579">
        <v>8850</v>
      </c>
      <c r="H50" s="430"/>
      <c r="I50" s="498" t="s">
        <v>523</v>
      </c>
      <c r="J50" s="430"/>
      <c r="K50" s="499" t="s">
        <v>729</v>
      </c>
      <c r="L50" s="430"/>
      <c r="M50" s="430"/>
      <c r="N50" s="121"/>
    </row>
    <row r="51" spans="2:15" ht="15" customHeight="1" x14ac:dyDescent="0.2">
      <c r="B51" s="247"/>
      <c r="C51" s="464"/>
      <c r="D51" s="174"/>
      <c r="E51" s="485"/>
      <c r="F51" s="270"/>
      <c r="G51" s="692">
        <f>SUM(G45:G50)</f>
        <v>73013.09</v>
      </c>
      <c r="H51" s="430"/>
      <c r="I51" s="498"/>
      <c r="J51" s="430"/>
      <c r="K51" s="499"/>
      <c r="L51" s="430"/>
      <c r="M51" s="430"/>
      <c r="N51" s="121"/>
    </row>
    <row r="52" spans="2:15" ht="15" customHeight="1" x14ac:dyDescent="0.2">
      <c r="B52" s="247"/>
      <c r="C52" s="464"/>
      <c r="D52" s="174"/>
      <c r="E52" s="485"/>
      <c r="F52" s="270"/>
      <c r="G52" s="431"/>
      <c r="H52" s="430"/>
      <c r="I52" s="498"/>
      <c r="J52" s="430"/>
      <c r="K52" s="499"/>
      <c r="L52" s="430"/>
      <c r="M52" s="430"/>
      <c r="N52" s="121"/>
    </row>
    <row r="53" spans="2:15" ht="15" customHeight="1" x14ac:dyDescent="0.2">
      <c r="B53" s="714">
        <v>46155</v>
      </c>
      <c r="C53" s="498" t="s">
        <v>882</v>
      </c>
      <c r="D53" s="715" t="s">
        <v>883</v>
      </c>
      <c r="E53" s="485">
        <v>100</v>
      </c>
      <c r="F53" s="430"/>
      <c r="G53" s="579">
        <v>248705.06</v>
      </c>
      <c r="H53" s="430"/>
      <c r="I53" s="498" t="s">
        <v>884</v>
      </c>
      <c r="J53" s="430"/>
      <c r="K53" s="499" t="s">
        <v>885</v>
      </c>
      <c r="L53" s="430"/>
      <c r="M53" s="430"/>
      <c r="N53" s="121"/>
    </row>
    <row r="54" spans="2:15" ht="17.25" customHeight="1" x14ac:dyDescent="0.2">
      <c r="D54" s="330" t="s">
        <v>126</v>
      </c>
      <c r="E54" s="486"/>
      <c r="F54" s="270"/>
      <c r="G54" s="702">
        <f>SUM(G53)</f>
        <v>248705.06</v>
      </c>
      <c r="H54" s="411"/>
      <c r="I54" s="411"/>
      <c r="J54" s="411"/>
      <c r="K54" s="454"/>
      <c r="L54" s="703"/>
      <c r="M54" s="411"/>
      <c r="N54" s="124" t="e">
        <f>SUM(#REF!)</f>
        <v>#REF!</v>
      </c>
      <c r="O54" s="121">
        <f>SUM(G41:G53)</f>
        <v>2454437.77</v>
      </c>
    </row>
    <row r="55" spans="2:15" ht="20.25" customHeight="1" thickBot="1" x14ac:dyDescent="0.25">
      <c r="D55" s="330" t="s">
        <v>252</v>
      </c>
      <c r="E55" s="486"/>
      <c r="F55" s="270"/>
      <c r="G55" s="704">
        <f>+E19+G43+G51+G54</f>
        <v>10448354.550000001</v>
      </c>
      <c r="H55" s="411"/>
      <c r="L55" s="411"/>
      <c r="M55" s="411"/>
      <c r="N55" s="124"/>
      <c r="O55" s="124">
        <f>SUM(O54:O54)</f>
        <v>2454437.77</v>
      </c>
    </row>
    <row r="56" spans="2:15" ht="11.25" customHeight="1" thickTop="1" x14ac:dyDescent="0.2">
      <c r="D56" s="330"/>
      <c r="E56" s="486"/>
      <c r="F56" s="270"/>
      <c r="G56" s="692"/>
      <c r="H56" s="411"/>
      <c r="L56" s="411"/>
      <c r="M56" s="411"/>
      <c r="N56" s="124"/>
    </row>
    <row r="57" spans="2:15" ht="11.25" customHeight="1" x14ac:dyDescent="0.2">
      <c r="D57" s="330"/>
      <c r="E57" s="486"/>
      <c r="F57" s="270"/>
      <c r="G57" s="692"/>
      <c r="H57" s="411"/>
      <c r="L57" s="411"/>
      <c r="M57" s="411"/>
      <c r="N57" s="124"/>
    </row>
    <row r="58" spans="2:15" ht="11.25" customHeight="1" x14ac:dyDescent="0.2">
      <c r="D58" s="330"/>
      <c r="E58" s="486"/>
      <c r="F58" s="270"/>
      <c r="G58" s="692"/>
      <c r="H58" s="411"/>
      <c r="L58" s="411"/>
      <c r="M58" s="411"/>
      <c r="N58" s="124"/>
    </row>
    <row r="59" spans="2:15" ht="11.25" customHeight="1" x14ac:dyDescent="0.2">
      <c r="D59" s="330"/>
      <c r="E59" s="486"/>
      <c r="F59" s="270"/>
      <c r="G59" s="692"/>
      <c r="H59" s="411"/>
      <c r="L59" s="411"/>
      <c r="M59" s="411"/>
      <c r="N59" s="124"/>
    </row>
    <row r="60" spans="2:15" ht="11.25" customHeight="1" x14ac:dyDescent="0.2">
      <c r="D60" s="330"/>
      <c r="E60" s="486"/>
      <c r="F60" s="270"/>
      <c r="G60" s="692"/>
      <c r="H60" s="411"/>
      <c r="L60" s="411"/>
      <c r="M60" s="411"/>
      <c r="N60" s="124"/>
    </row>
    <row r="61" spans="2:15" ht="27.75" customHeight="1" x14ac:dyDescent="0.2">
      <c r="D61" s="330"/>
      <c r="E61" s="486"/>
      <c r="F61" s="270"/>
      <c r="G61" s="692"/>
      <c r="H61" s="411"/>
      <c r="L61" s="411"/>
      <c r="M61" s="411"/>
      <c r="N61" s="124"/>
    </row>
    <row r="62" spans="2:15" ht="27.75" customHeight="1" x14ac:dyDescent="0.2">
      <c r="E62" s="455" t="s">
        <v>225</v>
      </c>
      <c r="F62" s="271"/>
      <c r="G62" s="705" t="s">
        <v>224</v>
      </c>
      <c r="H62" s="455"/>
      <c r="I62" s="455" t="s">
        <v>213</v>
      </c>
      <c r="J62" s="411"/>
      <c r="K62" s="455"/>
      <c r="L62" s="411"/>
      <c r="M62" s="411"/>
      <c r="N62" s="121"/>
      <c r="O62" s="121"/>
    </row>
    <row r="63" spans="2:15" ht="5.25" customHeight="1" x14ac:dyDescent="0.2">
      <c r="E63" s="455"/>
      <c r="F63" s="271"/>
      <c r="G63" s="705"/>
      <c r="H63" s="455"/>
      <c r="I63" s="455"/>
      <c r="J63" s="411"/>
      <c r="K63" s="455"/>
      <c r="L63" s="411"/>
      <c r="M63" s="411"/>
      <c r="N63" s="121"/>
    </row>
    <row r="64" spans="2:15" ht="15.75" customHeight="1" x14ac:dyDescent="0.2">
      <c r="D64" s="174">
        <v>2.1</v>
      </c>
      <c r="E64" s="430">
        <f>+E19</f>
        <v>8171189.6699999999</v>
      </c>
      <c r="F64" s="270"/>
      <c r="G64" s="456">
        <v>8171189.6699999999</v>
      </c>
      <c r="H64" s="430"/>
      <c r="I64" s="456">
        <f>+E64-G64</f>
        <v>0</v>
      </c>
      <c r="J64" s="411"/>
      <c r="K64" s="457"/>
      <c r="L64" s="411"/>
      <c r="M64" s="411"/>
      <c r="O64" s="121"/>
    </row>
    <row r="65" spans="2:25" ht="15.75" customHeight="1" x14ac:dyDescent="0.2">
      <c r="D65" s="174">
        <v>2.2000000000000002</v>
      </c>
      <c r="E65" s="430">
        <f>+G43</f>
        <v>1955446.7300000002</v>
      </c>
      <c r="F65" s="270"/>
      <c r="G65" s="456">
        <v>1955446.73</v>
      </c>
      <c r="H65" s="430"/>
      <c r="I65" s="456">
        <f t="shared" ref="I65:I68" si="1">+E65-G65</f>
        <v>0</v>
      </c>
      <c r="J65" s="411">
        <v>267390.58</v>
      </c>
      <c r="K65" s="458"/>
      <c r="L65" s="411"/>
      <c r="M65" s="453"/>
      <c r="N65" s="125"/>
      <c r="O65" s="125"/>
      <c r="P65" s="125"/>
      <c r="Q65" s="219"/>
      <c r="R65" s="219"/>
      <c r="S65" s="219">
        <v>46584.28</v>
      </c>
      <c r="T65" s="219">
        <v>100000</v>
      </c>
      <c r="U65" s="219">
        <v>187431.2</v>
      </c>
      <c r="V65" s="158">
        <f>SUM(N65:U65)</f>
        <v>334015.48</v>
      </c>
      <c r="W65" s="219">
        <v>81763.38</v>
      </c>
      <c r="X65" s="130">
        <v>180044</v>
      </c>
      <c r="Y65" s="158">
        <f>SUM(V65:X65)</f>
        <v>595822.86</v>
      </c>
    </row>
    <row r="66" spans="2:25" ht="15.75" customHeight="1" x14ac:dyDescent="0.2">
      <c r="D66" s="174">
        <v>2.2999999999999998</v>
      </c>
      <c r="E66" s="430">
        <f>+G51</f>
        <v>73013.09</v>
      </c>
      <c r="F66" s="270"/>
      <c r="G66" s="456">
        <v>73013.09</v>
      </c>
      <c r="H66" s="430"/>
      <c r="I66" s="456">
        <f>+E66-G66</f>
        <v>0</v>
      </c>
      <c r="J66" s="411"/>
      <c r="K66" s="457"/>
      <c r="L66" s="411"/>
      <c r="M66" s="453"/>
      <c r="N66" s="121"/>
      <c r="O66" s="307"/>
      <c r="P66" s="125"/>
      <c r="Q66" s="155"/>
      <c r="R66" s="219"/>
      <c r="S66" s="155">
        <f>SUM(Q66:R66)</f>
        <v>0</v>
      </c>
      <c r="T66" s="219"/>
      <c r="U66" s="219"/>
      <c r="V66" s="219"/>
    </row>
    <row r="67" spans="2:25" ht="15.75" customHeight="1" x14ac:dyDescent="0.2">
      <c r="D67" s="174">
        <v>2.4</v>
      </c>
      <c r="E67" s="456">
        <v>0</v>
      </c>
      <c r="F67" s="270"/>
      <c r="G67" s="698">
        <v>0</v>
      </c>
      <c r="H67" s="430"/>
      <c r="I67" s="456">
        <f t="shared" si="1"/>
        <v>0</v>
      </c>
      <c r="J67" s="411"/>
      <c r="K67" s="457"/>
      <c r="L67" s="411"/>
      <c r="M67" s="411"/>
      <c r="N67" s="121"/>
      <c r="O67" s="130"/>
    </row>
    <row r="68" spans="2:25" ht="15.75" customHeight="1" x14ac:dyDescent="0.2">
      <c r="D68" s="174">
        <v>2.6</v>
      </c>
      <c r="E68" s="643">
        <f>+G54</f>
        <v>248705.06</v>
      </c>
      <c r="F68" s="270"/>
      <c r="G68" s="699">
        <v>248705.06</v>
      </c>
      <c r="H68" s="430"/>
      <c r="I68" s="562">
        <f t="shared" si="1"/>
        <v>0</v>
      </c>
      <c r="J68" s="411"/>
      <c r="K68" s="457"/>
      <c r="L68" s="457"/>
      <c r="M68" s="411"/>
      <c r="N68" s="121"/>
      <c r="O68" s="314"/>
      <c r="P68" s="118"/>
    </row>
    <row r="69" spans="2:25" ht="19.5" customHeight="1" thickBot="1" x14ac:dyDescent="0.25">
      <c r="D69" s="121"/>
      <c r="E69" s="460">
        <f>SUM(E64:E68)</f>
        <v>10448354.550000001</v>
      </c>
      <c r="F69" s="331">
        <f>SUM(F64:F68)</f>
        <v>0</v>
      </c>
      <c r="G69" s="706">
        <f>SUM(G64:G68)</f>
        <v>10448354.550000001</v>
      </c>
      <c r="H69" s="459">
        <f>SUM(H64:H68)</f>
        <v>0</v>
      </c>
      <c r="I69" s="460">
        <f>SUM(I64:I68)</f>
        <v>0</v>
      </c>
      <c r="J69" s="411"/>
      <c r="K69" s="411"/>
      <c r="L69" s="411"/>
      <c r="M69" s="411"/>
      <c r="N69" s="121"/>
      <c r="O69" s="272"/>
      <c r="P69" s="124"/>
    </row>
    <row r="70" spans="2:25" ht="12.75" customHeight="1" thickTop="1" x14ac:dyDescent="0.2">
      <c r="D70" s="121"/>
      <c r="E70" s="459">
        <f>+G55-E69</f>
        <v>0</v>
      </c>
      <c r="F70" s="119"/>
      <c r="G70" s="707"/>
      <c r="H70" s="401"/>
      <c r="I70" s="401"/>
      <c r="J70" s="411"/>
      <c r="K70" s="411"/>
      <c r="L70" s="411"/>
      <c r="M70" s="411"/>
      <c r="N70" s="121"/>
      <c r="O70" s="272"/>
      <c r="P70" s="124"/>
    </row>
    <row r="71" spans="2:25" ht="2.25" customHeight="1" x14ac:dyDescent="0.2">
      <c r="B71" s="860"/>
      <c r="C71" s="860"/>
      <c r="D71" s="860"/>
      <c r="E71" s="860"/>
      <c r="F71" s="860"/>
      <c r="G71" s="860"/>
      <c r="H71" s="860"/>
      <c r="I71" s="860"/>
      <c r="J71" s="860"/>
      <c r="K71" s="860"/>
      <c r="L71" s="860"/>
      <c r="M71" s="860"/>
      <c r="N71" s="121"/>
      <c r="O71" s="272"/>
      <c r="P71" s="124"/>
    </row>
    <row r="72" spans="2:25" ht="30" customHeight="1" x14ac:dyDescent="0.2">
      <c r="B72" s="861"/>
      <c r="C72" s="861"/>
      <c r="D72" s="861"/>
      <c r="E72" s="861"/>
      <c r="F72" s="861"/>
      <c r="G72" s="861"/>
      <c r="H72" s="861"/>
      <c r="I72" s="861"/>
      <c r="J72" s="861"/>
      <c r="K72" s="861"/>
      <c r="L72" s="861"/>
      <c r="M72" s="861"/>
      <c r="N72" s="121"/>
      <c r="O72" s="272"/>
      <c r="P72" s="124"/>
    </row>
    <row r="73" spans="2:25" ht="18.75" customHeight="1" x14ac:dyDescent="0.2">
      <c r="C73" s="121"/>
      <c r="E73" s="487"/>
      <c r="F73" s="119"/>
      <c r="G73" s="707"/>
      <c r="H73" s="401"/>
      <c r="I73" s="401"/>
      <c r="J73" s="411"/>
      <c r="K73" s="411"/>
      <c r="L73" s="411"/>
      <c r="M73" s="411"/>
      <c r="N73" s="121"/>
      <c r="O73" s="272"/>
      <c r="P73" s="124"/>
    </row>
    <row r="74" spans="2:25" ht="40.5" customHeight="1" x14ac:dyDescent="0.2">
      <c r="B74" s="862"/>
      <c r="C74" s="862"/>
      <c r="D74" s="862"/>
      <c r="E74" s="862"/>
      <c r="F74" s="862"/>
      <c r="G74" s="862"/>
      <c r="H74" s="862"/>
      <c r="I74" s="862"/>
      <c r="J74" s="862"/>
      <c r="K74" s="862"/>
      <c r="L74" s="862"/>
      <c r="M74" s="862"/>
      <c r="N74" s="121"/>
      <c r="O74" s="272"/>
      <c r="P74" s="124"/>
    </row>
    <row r="75" spans="2:25" ht="24.75" customHeight="1" x14ac:dyDescent="0.2">
      <c r="C75" s="117"/>
      <c r="P75" s="130"/>
    </row>
  </sheetData>
  <sortState xmlns:xlrd2="http://schemas.microsoft.com/office/spreadsheetml/2017/richdata2" ref="B45:G50">
    <sortCondition ref="C45:C50"/>
  </sortState>
  <mergeCells count="9">
    <mergeCell ref="B71:M71"/>
    <mergeCell ref="B72:M72"/>
    <mergeCell ref="B74:M74"/>
    <mergeCell ref="C1:M1"/>
    <mergeCell ref="A2:M2"/>
    <mergeCell ref="A3:M3"/>
    <mergeCell ref="A4:M4"/>
    <mergeCell ref="C5:M5"/>
    <mergeCell ref="A18:M18"/>
  </mergeCells>
  <pageMargins left="0.15748031496062992" right="0.35433070866141736" top="0.39370078740157483" bottom="0.31496062992125984" header="0.35433070866141736" footer="0.31496062992125984"/>
  <pageSetup scale="76" orientation="portrait" r:id="rId1"/>
  <rowBreaks count="1" manualBreakCount="1">
    <brk id="73" max="16" man="1"/>
  </rowBreaks>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EC8E-9FAB-4924-909D-E9124D4EEB98}">
  <dimension ref="A1:Y55"/>
  <sheetViews>
    <sheetView topLeftCell="A16" zoomScale="114" zoomScaleNormal="114" zoomScaleSheetLayoutView="39" workbookViewId="0">
      <selection activeCell="D42" sqref="D42"/>
    </sheetView>
  </sheetViews>
  <sheetFormatPr baseColWidth="10" defaultColWidth="11.42578125" defaultRowHeight="12.75" x14ac:dyDescent="0.2"/>
  <cols>
    <col min="1" max="1" width="1.7109375" style="117" customWidth="1"/>
    <col min="2" max="2" width="10" style="117" customWidth="1"/>
    <col min="3" max="3" width="7.85546875" style="263" customWidth="1"/>
    <col min="4" max="4" width="40.28515625" style="117" customWidth="1"/>
    <col min="5" max="5" width="12.5703125" style="400" customWidth="1"/>
    <col min="6" max="6" width="0.28515625" style="117" customWidth="1"/>
    <col min="7" max="7" width="13" style="20" customWidth="1"/>
    <col min="8" max="8" width="0.42578125" style="400" customWidth="1"/>
    <col min="9" max="9" width="12.140625" style="400" customWidth="1"/>
    <col min="10" max="10" width="0.28515625" style="400" customWidth="1"/>
    <col min="11" max="11" width="16.85546875" style="400" customWidth="1"/>
    <col min="12" max="12" width="0.28515625" style="117" customWidth="1"/>
    <col min="13" max="13" width="12.28515625" style="117" customWidth="1"/>
    <col min="14" max="14" width="14.140625" style="117" customWidth="1"/>
    <col min="15" max="15" width="16.42578125" style="117" customWidth="1"/>
    <col min="16" max="16" width="13.7109375" style="117" customWidth="1"/>
    <col min="17" max="17" width="11.28515625" style="117" customWidth="1"/>
    <col min="18" max="18" width="14.5703125" style="117" bestFit="1" customWidth="1"/>
    <col min="19" max="19" width="13.85546875" style="117" customWidth="1"/>
    <col min="20" max="23" width="11.42578125" style="117"/>
    <col min="24" max="25" width="13.140625" style="117" bestFit="1" customWidth="1"/>
    <col min="26" max="16384" width="11.42578125" style="117"/>
  </cols>
  <sheetData>
    <row r="1" spans="1:19" ht="11.25" customHeight="1" x14ac:dyDescent="0.2">
      <c r="C1" s="863"/>
      <c r="D1" s="863"/>
      <c r="E1" s="863"/>
      <c r="F1" s="863"/>
      <c r="G1" s="863"/>
      <c r="H1" s="863"/>
      <c r="I1" s="863"/>
      <c r="J1" s="863"/>
      <c r="K1" s="863"/>
      <c r="L1" s="863"/>
      <c r="M1" s="863"/>
    </row>
    <row r="2" spans="1:19" ht="33" customHeight="1" x14ac:dyDescent="0.55000000000000004">
      <c r="A2" s="864" t="s">
        <v>108</v>
      </c>
      <c r="B2" s="864"/>
      <c r="C2" s="864"/>
      <c r="D2" s="864"/>
      <c r="E2" s="864"/>
      <c r="F2" s="864"/>
      <c r="G2" s="864"/>
      <c r="H2" s="864"/>
      <c r="I2" s="864"/>
      <c r="J2" s="864"/>
      <c r="K2" s="864"/>
      <c r="L2" s="864"/>
      <c r="M2" s="864"/>
    </row>
    <row r="3" spans="1:19" ht="9.75" customHeight="1" x14ac:dyDescent="0.35">
      <c r="A3" s="865"/>
      <c r="B3" s="865"/>
      <c r="C3" s="865"/>
      <c r="D3" s="865"/>
      <c r="E3" s="865"/>
      <c r="F3" s="865"/>
      <c r="G3" s="865"/>
      <c r="H3" s="865"/>
      <c r="I3" s="865"/>
      <c r="J3" s="865"/>
      <c r="K3" s="865"/>
      <c r="L3" s="865"/>
      <c r="M3" s="865"/>
    </row>
    <row r="4" spans="1:19" ht="21" customHeight="1" x14ac:dyDescent="0.4">
      <c r="A4" s="866" t="s">
        <v>755</v>
      </c>
      <c r="B4" s="866"/>
      <c r="C4" s="866"/>
      <c r="D4" s="866"/>
      <c r="E4" s="866"/>
      <c r="F4" s="866"/>
      <c r="G4" s="866"/>
      <c r="H4" s="866"/>
      <c r="I4" s="866"/>
      <c r="J4" s="866"/>
      <c r="K4" s="866"/>
      <c r="L4" s="866"/>
      <c r="M4" s="866"/>
      <c r="R4" s="130"/>
    </row>
    <row r="5" spans="1:19" ht="12" customHeight="1" x14ac:dyDescent="0.2">
      <c r="C5" s="863"/>
      <c r="D5" s="863"/>
      <c r="E5" s="863"/>
      <c r="F5" s="863"/>
      <c r="G5" s="863"/>
      <c r="H5" s="863"/>
      <c r="I5" s="863"/>
      <c r="J5" s="863"/>
      <c r="K5" s="863"/>
      <c r="L5" s="863"/>
      <c r="M5" s="863"/>
    </row>
    <row r="6" spans="1:19" ht="26.25" customHeight="1" x14ac:dyDescent="0.2">
      <c r="B6" s="262" t="s">
        <v>596</v>
      </c>
      <c r="C6" s="262" t="s">
        <v>111</v>
      </c>
      <c r="D6" s="262" t="s">
        <v>756</v>
      </c>
      <c r="E6" s="450" t="s">
        <v>109</v>
      </c>
      <c r="F6" s="262"/>
      <c r="G6" s="262" t="s">
        <v>204</v>
      </c>
      <c r="H6" s="450"/>
      <c r="I6" s="450" t="s">
        <v>205</v>
      </c>
      <c r="J6" s="450"/>
      <c r="K6" s="450" t="s">
        <v>206</v>
      </c>
      <c r="L6" s="262"/>
      <c r="M6" s="262" t="s">
        <v>126</v>
      </c>
      <c r="O6" s="130"/>
    </row>
    <row r="7" spans="1:19" ht="17.25" customHeight="1" x14ac:dyDescent="0.2">
      <c r="B7" s="247">
        <v>46113</v>
      </c>
      <c r="C7" s="462" t="s">
        <v>768</v>
      </c>
      <c r="D7" s="463" t="s">
        <v>761</v>
      </c>
      <c r="E7" s="495">
        <v>35540.480000000003</v>
      </c>
      <c r="F7" s="494"/>
      <c r="G7" s="496">
        <v>0</v>
      </c>
      <c r="H7" s="430"/>
      <c r="I7" s="495">
        <v>0</v>
      </c>
      <c r="J7" s="430"/>
      <c r="K7" s="495">
        <v>0</v>
      </c>
      <c r="L7" s="494"/>
      <c r="M7" s="677">
        <f t="shared" ref="M7:M12" si="0">SUM(E7:K7)</f>
        <v>35540.480000000003</v>
      </c>
      <c r="N7" s="124"/>
      <c r="O7" s="125"/>
      <c r="P7" s="125"/>
      <c r="Q7" s="219"/>
      <c r="R7" s="219"/>
      <c r="S7" s="219"/>
    </row>
    <row r="8" spans="1:19" ht="17.25" customHeight="1" x14ac:dyDescent="0.2">
      <c r="B8" s="247">
        <v>46122</v>
      </c>
      <c r="C8" s="462" t="s">
        <v>769</v>
      </c>
      <c r="D8" s="463" t="s">
        <v>757</v>
      </c>
      <c r="E8" s="495">
        <v>1776500</v>
      </c>
      <c r="F8" s="494"/>
      <c r="G8" s="515">
        <v>125048.46</v>
      </c>
      <c r="H8" s="430"/>
      <c r="I8" s="456">
        <v>126131.5</v>
      </c>
      <c r="J8" s="430"/>
      <c r="K8" s="456">
        <v>17115.55</v>
      </c>
      <c r="L8" s="494"/>
      <c r="M8" s="677">
        <f t="shared" si="0"/>
        <v>2044795.51</v>
      </c>
      <c r="N8" s="121"/>
      <c r="O8" s="125"/>
      <c r="P8" s="125"/>
      <c r="Q8" s="219"/>
      <c r="R8" s="219"/>
      <c r="S8" s="219"/>
    </row>
    <row r="9" spans="1:19" ht="17.25" customHeight="1" x14ac:dyDescent="0.2">
      <c r="B9" s="247">
        <v>46122</v>
      </c>
      <c r="C9" s="462" t="s">
        <v>770</v>
      </c>
      <c r="D9" s="174" t="s">
        <v>759</v>
      </c>
      <c r="E9" s="456">
        <v>1522000</v>
      </c>
      <c r="F9" s="494"/>
      <c r="G9" s="515">
        <v>107909.8</v>
      </c>
      <c r="H9" s="430"/>
      <c r="I9" s="456">
        <v>108062</v>
      </c>
      <c r="J9" s="430"/>
      <c r="K9" s="456">
        <v>16035.62</v>
      </c>
      <c r="L9" s="494"/>
      <c r="M9" s="677">
        <f>SUM(E9:K9)</f>
        <v>1754007.4200000002</v>
      </c>
      <c r="N9" s="121"/>
      <c r="O9" s="125"/>
      <c r="P9" s="125"/>
      <c r="Q9" s="219"/>
      <c r="R9" s="219"/>
      <c r="S9" s="219"/>
    </row>
    <row r="10" spans="1:19" ht="18.75" customHeight="1" x14ac:dyDescent="0.2">
      <c r="B10" s="247">
        <v>46122</v>
      </c>
      <c r="C10" s="462" t="s">
        <v>771</v>
      </c>
      <c r="D10" s="463" t="s">
        <v>758</v>
      </c>
      <c r="E10" s="493">
        <v>140000</v>
      </c>
      <c r="F10" s="494"/>
      <c r="G10" s="515">
        <v>9926</v>
      </c>
      <c r="H10" s="430"/>
      <c r="I10" s="456">
        <v>9940</v>
      </c>
      <c r="J10" s="430"/>
      <c r="K10" s="456">
        <v>1021.81</v>
      </c>
      <c r="L10" s="494"/>
      <c r="M10" s="677">
        <f t="shared" si="0"/>
        <v>160887.81</v>
      </c>
      <c r="N10" s="121"/>
      <c r="O10" s="434"/>
      <c r="P10" s="125"/>
      <c r="Q10" s="219"/>
      <c r="R10" s="219"/>
      <c r="S10" s="219"/>
    </row>
    <row r="11" spans="1:19" ht="18" customHeight="1" x14ac:dyDescent="0.2">
      <c r="B11" s="247">
        <v>46122</v>
      </c>
      <c r="C11" s="462" t="s">
        <v>772</v>
      </c>
      <c r="D11" s="463" t="s">
        <v>762</v>
      </c>
      <c r="E11" s="493">
        <v>332000</v>
      </c>
      <c r="F11" s="494"/>
      <c r="G11" s="496">
        <v>0</v>
      </c>
      <c r="H11" s="430"/>
      <c r="I11" s="495">
        <v>0</v>
      </c>
      <c r="J11" s="430"/>
      <c r="K11" s="495">
        <v>0</v>
      </c>
      <c r="L11" s="494"/>
      <c r="M11" s="677">
        <f t="shared" si="0"/>
        <v>332000</v>
      </c>
      <c r="N11" s="121"/>
      <c r="O11" s="125"/>
      <c r="P11" s="125"/>
      <c r="Q11" s="219"/>
      <c r="R11" s="219"/>
      <c r="S11" s="219"/>
    </row>
    <row r="12" spans="1:19" ht="17.25" customHeight="1" x14ac:dyDescent="0.2">
      <c r="B12" s="247">
        <v>46129</v>
      </c>
      <c r="C12" s="462" t="s">
        <v>773</v>
      </c>
      <c r="D12" s="463" t="s">
        <v>760</v>
      </c>
      <c r="E12" s="562">
        <v>75000</v>
      </c>
      <c r="F12" s="494"/>
      <c r="G12" s="516">
        <v>5317.5</v>
      </c>
      <c r="H12" s="430"/>
      <c r="I12" s="562">
        <v>5325</v>
      </c>
      <c r="J12" s="430"/>
      <c r="K12" s="562">
        <v>581.80999999999995</v>
      </c>
      <c r="L12" s="494"/>
      <c r="M12" s="696">
        <f t="shared" si="0"/>
        <v>86224.31</v>
      </c>
      <c r="N12" s="124"/>
      <c r="O12" s="125"/>
      <c r="P12" s="125"/>
      <c r="Q12" s="219"/>
      <c r="R12" s="219"/>
      <c r="S12" s="219"/>
    </row>
    <row r="13" spans="1:19" ht="18.75" customHeight="1" thickBot="1" x14ac:dyDescent="0.25">
      <c r="D13" s="268" t="s">
        <v>110</v>
      </c>
      <c r="E13" s="465">
        <f>SUM(E7:E12)</f>
        <v>3881040.48</v>
      </c>
      <c r="F13" s="466">
        <f>SUM(F12:F12)</f>
        <v>0</v>
      </c>
      <c r="G13" s="465">
        <f>SUM(G7:G12)</f>
        <v>248201.76</v>
      </c>
      <c r="H13" s="465"/>
      <c r="I13" s="465">
        <f>SUM(I7:I12)</f>
        <v>249458.5</v>
      </c>
      <c r="J13" s="465"/>
      <c r="K13" s="465">
        <f>SUM(K7:K12)</f>
        <v>34754.789999999994</v>
      </c>
      <c r="L13" s="465">
        <f>SUM(L8:M12)</f>
        <v>4377915.05</v>
      </c>
      <c r="M13" s="465">
        <f>SUM(M7:M12)</f>
        <v>4413455.53</v>
      </c>
      <c r="N13" s="158"/>
      <c r="O13" s="130"/>
    </row>
    <row r="14" spans="1:19" ht="12.75" customHeight="1" thickTop="1" x14ac:dyDescent="0.2">
      <c r="A14" s="863"/>
      <c r="B14" s="863"/>
      <c r="C14" s="863"/>
      <c r="D14" s="863"/>
      <c r="E14" s="863"/>
      <c r="F14" s="863"/>
      <c r="G14" s="863"/>
      <c r="H14" s="863"/>
      <c r="I14" s="863"/>
      <c r="J14" s="863"/>
      <c r="K14" s="863"/>
      <c r="L14" s="863"/>
      <c r="M14" s="863"/>
      <c r="N14" s="121"/>
    </row>
    <row r="15" spans="1:19" ht="18.75" customHeight="1" thickBot="1" x14ac:dyDescent="0.25">
      <c r="D15" s="497" t="s">
        <v>207</v>
      </c>
      <c r="E15" s="467">
        <f>+M13</f>
        <v>4413455.53</v>
      </c>
      <c r="F15" s="118"/>
      <c r="G15" s="65"/>
      <c r="H15" s="411"/>
      <c r="I15" s="411"/>
      <c r="J15" s="411"/>
      <c r="K15" s="411"/>
      <c r="L15" s="121"/>
      <c r="M15" s="121"/>
      <c r="N15" s="121"/>
    </row>
    <row r="16" spans="1:19" ht="12" customHeight="1" thickTop="1" x14ac:dyDescent="0.2">
      <c r="D16" s="266"/>
      <c r="E16" s="401"/>
      <c r="F16" s="118"/>
      <c r="G16" s="517"/>
      <c r="H16" s="411"/>
      <c r="I16" s="411"/>
      <c r="J16" s="411"/>
      <c r="K16" s="411"/>
      <c r="L16" s="121"/>
      <c r="M16" s="121"/>
      <c r="N16" s="125"/>
      <c r="O16" s="121"/>
      <c r="P16" s="121"/>
    </row>
    <row r="17" spans="2:16" ht="17.25" customHeight="1" x14ac:dyDescent="0.2">
      <c r="B17" s="263"/>
      <c r="D17" s="268" t="s">
        <v>114</v>
      </c>
      <c r="E17" s="457"/>
      <c r="F17" s="121"/>
      <c r="G17" s="65"/>
      <c r="H17" s="411"/>
      <c r="I17" s="411"/>
      <c r="J17" s="411"/>
      <c r="K17" s="411"/>
      <c r="L17" s="121"/>
      <c r="M17" s="267"/>
      <c r="O17" s="121"/>
      <c r="P17" s="125"/>
    </row>
    <row r="18" spans="2:16" ht="22.5" customHeight="1" x14ac:dyDescent="0.2">
      <c r="B18" s="262" t="s">
        <v>596</v>
      </c>
      <c r="C18" s="265" t="s">
        <v>111</v>
      </c>
      <c r="D18" s="268" t="s">
        <v>112</v>
      </c>
      <c r="E18" s="451" t="s">
        <v>302</v>
      </c>
      <c r="F18" s="269"/>
      <c r="G18" s="518" t="s">
        <v>113</v>
      </c>
      <c r="H18" s="451"/>
      <c r="I18" s="451" t="s">
        <v>653</v>
      </c>
      <c r="J18" s="451"/>
      <c r="K18" s="451" t="s">
        <v>14</v>
      </c>
      <c r="L18" s="269"/>
      <c r="M18" s="270"/>
      <c r="O18" s="295"/>
      <c r="P18" s="125"/>
    </row>
    <row r="19" spans="2:16" ht="15" customHeight="1" x14ac:dyDescent="0.2">
      <c r="B19" s="247">
        <v>46121</v>
      </c>
      <c r="C19" s="464" t="s">
        <v>774</v>
      </c>
      <c r="D19" s="174" t="s">
        <v>704</v>
      </c>
      <c r="E19" s="485">
        <v>100</v>
      </c>
      <c r="F19" s="270"/>
      <c r="G19" s="678">
        <v>6050.76</v>
      </c>
      <c r="H19" s="430"/>
      <c r="I19" s="498" t="s">
        <v>330</v>
      </c>
      <c r="J19" s="430"/>
      <c r="K19" s="499" t="s">
        <v>609</v>
      </c>
      <c r="L19" s="121"/>
      <c r="M19" s="121"/>
      <c r="N19" s="121"/>
    </row>
    <row r="20" spans="2:16" ht="15" customHeight="1" x14ac:dyDescent="0.2">
      <c r="B20" s="247">
        <v>46126</v>
      </c>
      <c r="C20" s="464" t="s">
        <v>777</v>
      </c>
      <c r="D20" s="174" t="s">
        <v>713</v>
      </c>
      <c r="E20" s="485">
        <v>100</v>
      </c>
      <c r="F20" s="270"/>
      <c r="G20" s="678">
        <v>22974</v>
      </c>
      <c r="H20" s="430"/>
      <c r="I20" s="498" t="s">
        <v>330</v>
      </c>
      <c r="J20" s="430"/>
      <c r="K20" s="499" t="s">
        <v>609</v>
      </c>
      <c r="L20" s="121"/>
      <c r="M20" s="121"/>
      <c r="N20" s="121"/>
    </row>
    <row r="21" spans="2:16" ht="15.75" customHeight="1" x14ac:dyDescent="0.2">
      <c r="B21" s="247">
        <v>46126</v>
      </c>
      <c r="C21" s="264" t="s">
        <v>778</v>
      </c>
      <c r="D21" s="512" t="s">
        <v>779</v>
      </c>
      <c r="E21" s="435">
        <v>100</v>
      </c>
      <c r="F21" s="121"/>
      <c r="G21" s="678">
        <v>26528</v>
      </c>
      <c r="H21" s="411"/>
      <c r="I21" s="436" t="s">
        <v>330</v>
      </c>
      <c r="J21" s="411"/>
      <c r="K21" s="452" t="s">
        <v>712</v>
      </c>
      <c r="L21" s="121"/>
      <c r="M21" s="121"/>
      <c r="N21" s="121"/>
      <c r="O21" s="121"/>
    </row>
    <row r="22" spans="2:16" ht="15" customHeight="1" x14ac:dyDescent="0.2">
      <c r="B22" s="247">
        <v>46134</v>
      </c>
      <c r="C22" s="681" t="s">
        <v>800</v>
      </c>
      <c r="D22" s="174" t="s">
        <v>801</v>
      </c>
      <c r="E22" s="485">
        <v>100</v>
      </c>
      <c r="F22" s="270"/>
      <c r="G22" s="679">
        <v>131557.87</v>
      </c>
      <c r="H22" s="430"/>
      <c r="I22" s="498" t="s">
        <v>330</v>
      </c>
      <c r="J22" s="430"/>
      <c r="K22" s="499" t="s">
        <v>714</v>
      </c>
      <c r="L22" s="270"/>
      <c r="M22" s="270"/>
      <c r="N22" s="121"/>
    </row>
    <row r="23" spans="2:16" ht="15" customHeight="1" x14ac:dyDescent="0.2">
      <c r="B23" s="247"/>
      <c r="C23" s="264"/>
      <c r="D23" s="268" t="s">
        <v>110</v>
      </c>
      <c r="E23" s="435"/>
      <c r="F23" s="121"/>
      <c r="G23" s="514">
        <f>SUM(G19:G22)</f>
        <v>187110.63</v>
      </c>
      <c r="H23" s="453"/>
      <c r="I23" s="436"/>
      <c r="J23" s="411"/>
      <c r="K23" s="452"/>
      <c r="L23" s="121"/>
      <c r="M23" s="121"/>
      <c r="N23" s="121"/>
    </row>
    <row r="24" spans="2:16" ht="10.5" customHeight="1" x14ac:dyDescent="0.2">
      <c r="B24" s="247"/>
      <c r="C24" s="264"/>
      <c r="D24" s="268"/>
      <c r="E24" s="435"/>
      <c r="F24" s="121"/>
      <c r="G24" s="514"/>
      <c r="H24" s="453"/>
      <c r="I24" s="436"/>
      <c r="J24" s="411"/>
      <c r="K24" s="452"/>
      <c r="L24" s="121"/>
      <c r="M24" s="121"/>
      <c r="N24" s="121"/>
    </row>
    <row r="25" spans="2:16" ht="19.5" customHeight="1" x14ac:dyDescent="0.2">
      <c r="B25" s="262" t="s">
        <v>596</v>
      </c>
      <c r="C25" s="265" t="s">
        <v>111</v>
      </c>
      <c r="D25" s="268" t="s">
        <v>112</v>
      </c>
      <c r="E25" s="451" t="s">
        <v>302</v>
      </c>
      <c r="F25" s="269"/>
      <c r="G25" s="518" t="s">
        <v>113</v>
      </c>
      <c r="H25" s="451"/>
      <c r="I25" s="451" t="s">
        <v>653</v>
      </c>
      <c r="J25" s="451"/>
      <c r="K25" s="451" t="s">
        <v>14</v>
      </c>
      <c r="L25" s="269"/>
      <c r="M25" s="270"/>
      <c r="O25" s="295"/>
      <c r="P25" s="125"/>
    </row>
    <row r="26" spans="2:16" ht="15.75" customHeight="1" x14ac:dyDescent="0.2">
      <c r="B26" s="247">
        <v>46121</v>
      </c>
      <c r="C26" s="464" t="s">
        <v>775</v>
      </c>
      <c r="D26" s="486" t="s">
        <v>606</v>
      </c>
      <c r="E26" s="485">
        <v>100</v>
      </c>
      <c r="F26" s="270"/>
      <c r="G26" s="678">
        <v>90929.64</v>
      </c>
      <c r="H26" s="430"/>
      <c r="I26" s="498" t="s">
        <v>330</v>
      </c>
      <c r="J26" s="430"/>
      <c r="K26" s="671" t="s">
        <v>620</v>
      </c>
      <c r="L26" s="270"/>
      <c r="M26" s="270"/>
      <c r="N26" s="121"/>
      <c r="O26" s="121"/>
    </row>
    <row r="27" spans="2:16" ht="18" customHeight="1" x14ac:dyDescent="0.2">
      <c r="B27" s="247">
        <v>46126</v>
      </c>
      <c r="C27" s="464" t="s">
        <v>776</v>
      </c>
      <c r="D27" s="174" t="s">
        <v>613</v>
      </c>
      <c r="E27" s="485">
        <v>100</v>
      </c>
      <c r="F27" s="270"/>
      <c r="G27" s="678">
        <v>126323.1</v>
      </c>
      <c r="H27" s="430"/>
      <c r="I27" s="498" t="s">
        <v>330</v>
      </c>
      <c r="J27" s="430"/>
      <c r="K27" s="499" t="s">
        <v>609</v>
      </c>
      <c r="L27" s="499"/>
      <c r="M27" s="558"/>
      <c r="N27" s="121"/>
    </row>
    <row r="28" spans="2:16" ht="15.75" customHeight="1" x14ac:dyDescent="0.2">
      <c r="B28" s="247">
        <v>46126</v>
      </c>
      <c r="C28" s="464" t="s">
        <v>780</v>
      </c>
      <c r="D28" s="486" t="s">
        <v>634</v>
      </c>
      <c r="E28" s="485">
        <v>100</v>
      </c>
      <c r="F28" s="270"/>
      <c r="G28" s="678">
        <v>22184</v>
      </c>
      <c r="H28" s="430"/>
      <c r="I28" s="498" t="s">
        <v>330</v>
      </c>
      <c r="J28" s="430"/>
      <c r="K28" s="671" t="s">
        <v>635</v>
      </c>
      <c r="L28" s="270"/>
      <c r="M28" s="270"/>
      <c r="N28" s="121"/>
      <c r="O28" s="121"/>
    </row>
    <row r="29" spans="2:16" ht="21" customHeight="1" x14ac:dyDescent="0.2">
      <c r="B29" s="247">
        <v>46126</v>
      </c>
      <c r="C29" s="464" t="s">
        <v>781</v>
      </c>
      <c r="D29" s="463" t="s">
        <v>782</v>
      </c>
      <c r="E29" s="485">
        <v>100</v>
      </c>
      <c r="F29" s="270"/>
      <c r="G29" s="678">
        <v>16700.98</v>
      </c>
      <c r="H29" s="430"/>
      <c r="I29" s="498" t="s">
        <v>523</v>
      </c>
      <c r="J29" s="430"/>
      <c r="K29" s="499" t="s">
        <v>783</v>
      </c>
      <c r="L29" s="270"/>
      <c r="M29" s="270"/>
      <c r="N29" s="121"/>
    </row>
    <row r="30" spans="2:16" ht="19.5" customHeight="1" x14ac:dyDescent="0.2">
      <c r="B30" s="247">
        <v>46126</v>
      </c>
      <c r="C30" s="464" t="s">
        <v>798</v>
      </c>
      <c r="D30" s="463" t="s">
        <v>799</v>
      </c>
      <c r="E30" s="485">
        <v>100</v>
      </c>
      <c r="F30" s="270"/>
      <c r="G30" s="678">
        <v>309311.03999999998</v>
      </c>
      <c r="H30" s="430"/>
      <c r="I30" s="498">
        <v>2.2000000000000002</v>
      </c>
      <c r="J30" s="486"/>
      <c r="K30" s="486" t="s">
        <v>712</v>
      </c>
      <c r="L30" s="270"/>
      <c r="M30" s="270"/>
      <c r="N30" s="124"/>
    </row>
    <row r="31" spans="2:16" ht="15" customHeight="1" x14ac:dyDescent="0.2">
      <c r="B31" s="247">
        <v>46129</v>
      </c>
      <c r="C31" s="464" t="s">
        <v>784</v>
      </c>
      <c r="D31" s="174" t="s">
        <v>785</v>
      </c>
      <c r="E31" s="485">
        <v>100</v>
      </c>
      <c r="F31" s="672"/>
      <c r="G31" s="678">
        <v>35323.040000000001</v>
      </c>
      <c r="H31" s="430"/>
      <c r="I31" s="498" t="s">
        <v>523</v>
      </c>
      <c r="J31" s="430"/>
      <c r="K31" s="499" t="s">
        <v>786</v>
      </c>
      <c r="L31" s="270"/>
      <c r="M31" s="270"/>
      <c r="N31" s="121"/>
    </row>
    <row r="32" spans="2:16" ht="15" customHeight="1" x14ac:dyDescent="0.2">
      <c r="B32" s="247">
        <v>46129</v>
      </c>
      <c r="C32" s="681" t="s">
        <v>787</v>
      </c>
      <c r="D32" s="174" t="s">
        <v>788</v>
      </c>
      <c r="E32" s="485">
        <v>100</v>
      </c>
      <c r="F32" s="270"/>
      <c r="G32" s="680">
        <v>165689.26999999999</v>
      </c>
      <c r="H32" s="430"/>
      <c r="I32" s="498" t="s">
        <v>710</v>
      </c>
      <c r="J32" s="430"/>
      <c r="K32" s="499" t="s">
        <v>377</v>
      </c>
      <c r="L32" s="270"/>
      <c r="M32" s="270"/>
      <c r="N32" s="121"/>
    </row>
    <row r="33" spans="2:25" ht="15.75" customHeight="1" x14ac:dyDescent="0.2">
      <c r="B33" s="247">
        <v>46129</v>
      </c>
      <c r="C33" s="464" t="s">
        <v>796</v>
      </c>
      <c r="D33" s="486" t="s">
        <v>715</v>
      </c>
      <c r="E33" s="485">
        <v>100</v>
      </c>
      <c r="F33" s="270"/>
      <c r="G33" s="678">
        <v>446077.44</v>
      </c>
      <c r="H33" s="430"/>
      <c r="I33" s="498" t="s">
        <v>330</v>
      </c>
      <c r="J33" s="430"/>
      <c r="K33" s="671" t="s">
        <v>797</v>
      </c>
      <c r="L33" s="270"/>
      <c r="M33" s="270"/>
      <c r="N33" s="121"/>
      <c r="O33" s="121"/>
    </row>
    <row r="34" spans="2:25" ht="15" customHeight="1" x14ac:dyDescent="0.2">
      <c r="B34" s="247">
        <v>46129</v>
      </c>
      <c r="C34" s="464" t="s">
        <v>789</v>
      </c>
      <c r="D34" s="174" t="s">
        <v>790</v>
      </c>
      <c r="E34" s="485">
        <v>100</v>
      </c>
      <c r="F34" s="672"/>
      <c r="G34" s="678">
        <v>22533</v>
      </c>
      <c r="H34" s="430"/>
      <c r="I34" s="498" t="s">
        <v>523</v>
      </c>
      <c r="J34" s="430"/>
      <c r="K34" s="499" t="s">
        <v>791</v>
      </c>
      <c r="L34" s="270"/>
      <c r="M34" s="270"/>
      <c r="N34" s="121"/>
    </row>
    <row r="35" spans="2:25" ht="15" customHeight="1" x14ac:dyDescent="0.2">
      <c r="B35" s="247">
        <v>46129</v>
      </c>
      <c r="C35" s="464" t="s">
        <v>792</v>
      </c>
      <c r="D35" s="512" t="s">
        <v>725</v>
      </c>
      <c r="E35" s="485">
        <v>100</v>
      </c>
      <c r="F35" s="672"/>
      <c r="G35" s="678">
        <v>64005.64</v>
      </c>
      <c r="H35" s="430"/>
      <c r="I35" s="498" t="s">
        <v>330</v>
      </c>
      <c r="J35" s="430"/>
      <c r="K35" s="499" t="s">
        <v>726</v>
      </c>
      <c r="L35" s="270"/>
      <c r="M35" s="270"/>
      <c r="N35" s="121"/>
    </row>
    <row r="36" spans="2:25" ht="15.75" customHeight="1" x14ac:dyDescent="0.2">
      <c r="B36" s="247">
        <v>46129</v>
      </c>
      <c r="C36" s="464" t="s">
        <v>793</v>
      </c>
      <c r="D36" s="486" t="s">
        <v>794</v>
      </c>
      <c r="E36" s="485">
        <v>100</v>
      </c>
      <c r="F36" s="270"/>
      <c r="G36" s="678">
        <v>1050000</v>
      </c>
      <c r="H36" s="430"/>
      <c r="I36" s="498" t="s">
        <v>523</v>
      </c>
      <c r="J36" s="430"/>
      <c r="K36" s="671" t="s">
        <v>795</v>
      </c>
      <c r="L36" s="270"/>
      <c r="M36" s="270"/>
      <c r="N36" s="121"/>
      <c r="O36" s="121"/>
    </row>
    <row r="37" spans="2:25" ht="15" customHeight="1" x14ac:dyDescent="0.2">
      <c r="B37" s="247">
        <v>46136</v>
      </c>
      <c r="C37" s="673" t="s">
        <v>802</v>
      </c>
      <c r="D37" s="137" t="s">
        <v>727</v>
      </c>
      <c r="E37" s="674">
        <v>100</v>
      </c>
      <c r="F37" s="364"/>
      <c r="G37" s="680">
        <v>147589.85999999999</v>
      </c>
      <c r="H37" s="431"/>
      <c r="I37" s="675" t="s">
        <v>330</v>
      </c>
      <c r="J37" s="431"/>
      <c r="K37" s="676" t="s">
        <v>728</v>
      </c>
      <c r="L37" s="270"/>
      <c r="M37" s="270"/>
      <c r="N37" s="397"/>
    </row>
    <row r="38" spans="2:25" ht="15" customHeight="1" x14ac:dyDescent="0.2">
      <c r="B38" s="247">
        <v>46139</v>
      </c>
      <c r="C38" s="673" t="s">
        <v>803</v>
      </c>
      <c r="D38" s="137" t="s">
        <v>540</v>
      </c>
      <c r="E38" s="674">
        <v>100</v>
      </c>
      <c r="F38" s="364"/>
      <c r="G38" s="679">
        <v>17254.650000000001</v>
      </c>
      <c r="H38" s="431"/>
      <c r="I38" s="675" t="s">
        <v>330</v>
      </c>
      <c r="J38" s="431"/>
      <c r="K38" s="676" t="s">
        <v>607</v>
      </c>
      <c r="L38" s="270"/>
      <c r="M38" s="270"/>
      <c r="N38" s="397"/>
    </row>
    <row r="39" spans="2:25" ht="17.25" customHeight="1" x14ac:dyDescent="0.2">
      <c r="D39" s="330" t="s">
        <v>126</v>
      </c>
      <c r="E39" s="486"/>
      <c r="F39" s="270"/>
      <c r="G39" s="519">
        <f>SUM(G26:G38)</f>
        <v>2513921.6599999997</v>
      </c>
      <c r="H39" s="411"/>
      <c r="I39" s="411"/>
      <c r="J39" s="411"/>
      <c r="K39" s="454"/>
      <c r="L39" s="124"/>
      <c r="M39" s="121"/>
      <c r="N39" s="124" t="e">
        <f>SUM(#REF!)</f>
        <v>#REF!</v>
      </c>
      <c r="O39" s="121">
        <f>SUM(G37:G38)</f>
        <v>164844.50999999998</v>
      </c>
    </row>
    <row r="40" spans="2:25" ht="20.25" customHeight="1" thickBot="1" x14ac:dyDescent="0.25">
      <c r="D40" s="330" t="s">
        <v>252</v>
      </c>
      <c r="E40" s="486"/>
      <c r="F40" s="270"/>
      <c r="G40" s="520">
        <f>E15+G23+G39</f>
        <v>7114487.8200000003</v>
      </c>
      <c r="H40" s="411"/>
      <c r="L40" s="121"/>
      <c r="M40" s="121"/>
      <c r="N40" s="124"/>
      <c r="O40" s="124">
        <f>SUM(O39:O39)</f>
        <v>164844.50999999998</v>
      </c>
    </row>
    <row r="41" spans="2:25" ht="14.25" customHeight="1" thickTop="1" x14ac:dyDescent="0.2">
      <c r="D41" s="330"/>
      <c r="E41" s="486"/>
      <c r="F41" s="270"/>
      <c r="G41" s="514"/>
      <c r="H41" s="411"/>
      <c r="L41" s="121"/>
      <c r="M41" s="121"/>
      <c r="N41" s="124"/>
    </row>
    <row r="42" spans="2:25" ht="27.75" customHeight="1" x14ac:dyDescent="0.2">
      <c r="E42" s="455" t="s">
        <v>225</v>
      </c>
      <c r="F42" s="271"/>
      <c r="G42" s="521" t="s">
        <v>224</v>
      </c>
      <c r="H42" s="455"/>
      <c r="I42" s="455" t="s">
        <v>213</v>
      </c>
      <c r="J42" s="411"/>
      <c r="K42" s="455"/>
      <c r="L42" s="121"/>
      <c r="M42" s="121"/>
      <c r="N42" s="121"/>
      <c r="O42" s="121"/>
    </row>
    <row r="43" spans="2:25" ht="5.25" customHeight="1" x14ac:dyDescent="0.2">
      <c r="E43" s="455"/>
      <c r="F43" s="271"/>
      <c r="G43" s="521"/>
      <c r="H43" s="455"/>
      <c r="I43" s="455"/>
      <c r="J43" s="411"/>
      <c r="K43" s="455"/>
      <c r="L43" s="121"/>
      <c r="M43" s="121"/>
      <c r="N43" s="121"/>
    </row>
    <row r="44" spans="2:25" ht="15.75" customHeight="1" x14ac:dyDescent="0.2">
      <c r="D44" s="174">
        <v>2.1</v>
      </c>
      <c r="E44" s="430">
        <f>+E15</f>
        <v>4413455.53</v>
      </c>
      <c r="F44" s="270"/>
      <c r="G44" s="456">
        <v>0</v>
      </c>
      <c r="H44" s="430"/>
      <c r="I44" s="456">
        <f>+E44-G44</f>
        <v>4413455.53</v>
      </c>
      <c r="J44" s="411"/>
      <c r="K44" s="457"/>
      <c r="L44" s="121"/>
      <c r="M44" s="121"/>
      <c r="O44" s="121"/>
    </row>
    <row r="45" spans="2:25" ht="15.75" customHeight="1" x14ac:dyDescent="0.2">
      <c r="D45" s="174">
        <v>2.2000000000000002</v>
      </c>
      <c r="E45" s="430">
        <f>+G19+G20+G21+G22+G26+G27+G28+G30+G33+G35+G37+G38</f>
        <v>1410785.9999999995</v>
      </c>
      <c r="F45" s="270"/>
      <c r="G45" s="456">
        <v>0</v>
      </c>
      <c r="H45" s="430"/>
      <c r="I45" s="456">
        <f t="shared" ref="I45:I48" si="1">+E45-G45</f>
        <v>1410785.9999999995</v>
      </c>
      <c r="J45" s="411">
        <v>267390.58</v>
      </c>
      <c r="K45" s="458"/>
      <c r="L45" s="121"/>
      <c r="M45" s="156"/>
      <c r="N45" s="125"/>
      <c r="O45" s="125"/>
      <c r="P45" s="125"/>
      <c r="Q45" s="219"/>
      <c r="R45" s="219"/>
      <c r="S45" s="219">
        <v>46584.28</v>
      </c>
      <c r="T45" s="219">
        <v>100000</v>
      </c>
      <c r="U45" s="219">
        <v>187431.2</v>
      </c>
      <c r="V45" s="158">
        <f>SUM(N45:U45)</f>
        <v>334015.48</v>
      </c>
      <c r="W45" s="219">
        <v>81763.38</v>
      </c>
      <c r="X45" s="130">
        <v>180044</v>
      </c>
      <c r="Y45" s="158">
        <f>SUM(V45:X45)</f>
        <v>595822.86</v>
      </c>
    </row>
    <row r="46" spans="2:25" ht="15.75" customHeight="1" x14ac:dyDescent="0.2">
      <c r="D46" s="174">
        <v>2.2999999999999998</v>
      </c>
      <c r="E46" s="430">
        <f>+G29+G31+G34+G36</f>
        <v>1124557.02</v>
      </c>
      <c r="F46" s="270"/>
      <c r="G46" s="456">
        <v>0</v>
      </c>
      <c r="H46" s="430"/>
      <c r="I46" s="456">
        <f>+E46-G46</f>
        <v>1124557.02</v>
      </c>
      <c r="J46" s="411"/>
      <c r="K46" s="457"/>
      <c r="L46" s="121"/>
      <c r="M46" s="156"/>
      <c r="N46" s="121"/>
      <c r="O46" s="307"/>
      <c r="P46" s="125"/>
      <c r="Q46" s="155"/>
      <c r="R46" s="219"/>
      <c r="S46" s="155">
        <f>SUM(Q46:R46)</f>
        <v>0</v>
      </c>
      <c r="T46" s="219"/>
      <c r="U46" s="219"/>
      <c r="V46" s="219"/>
    </row>
    <row r="47" spans="2:25" ht="15.75" customHeight="1" x14ac:dyDescent="0.2">
      <c r="D47" s="174">
        <v>2.4</v>
      </c>
      <c r="E47" s="456">
        <f>+G32</f>
        <v>165689.26999999999</v>
      </c>
      <c r="F47" s="270"/>
      <c r="G47" s="515">
        <v>0</v>
      </c>
      <c r="H47" s="430"/>
      <c r="I47" s="456">
        <f t="shared" si="1"/>
        <v>165689.26999999999</v>
      </c>
      <c r="J47" s="411"/>
      <c r="K47" s="457"/>
      <c r="L47" s="121"/>
      <c r="M47" s="121"/>
      <c r="N47" s="121"/>
      <c r="O47" s="130"/>
    </row>
    <row r="48" spans="2:25" ht="15.75" customHeight="1" x14ac:dyDescent="0.2">
      <c r="D48" s="174">
        <v>2.6</v>
      </c>
      <c r="E48" s="643">
        <v>0</v>
      </c>
      <c r="F48" s="270"/>
      <c r="G48" s="516">
        <v>0</v>
      </c>
      <c r="H48" s="430"/>
      <c r="I48" s="562">
        <f t="shared" si="1"/>
        <v>0</v>
      </c>
      <c r="J48" s="411"/>
      <c r="K48" s="457"/>
      <c r="L48" s="118"/>
      <c r="M48" s="121"/>
      <c r="N48" s="121"/>
      <c r="O48" s="314"/>
      <c r="P48" s="118"/>
    </row>
    <row r="49" spans="2:16" ht="19.5" customHeight="1" thickBot="1" x14ac:dyDescent="0.25">
      <c r="D49" s="121"/>
      <c r="E49" s="460">
        <f>SUM(E44:E48)</f>
        <v>7114487.8199999984</v>
      </c>
      <c r="F49" s="331">
        <f>SUM(F44:F48)</f>
        <v>0</v>
      </c>
      <c r="G49" s="522">
        <f>SUM(G44:G48)</f>
        <v>0</v>
      </c>
      <c r="H49" s="459">
        <f>SUM(H44:H48)</f>
        <v>0</v>
      </c>
      <c r="I49" s="460">
        <f>SUM(I44:I48)</f>
        <v>7114487.8199999984</v>
      </c>
      <c r="J49" s="411"/>
      <c r="K49" s="411"/>
      <c r="L49" s="121"/>
      <c r="M49" s="121"/>
      <c r="N49" s="121"/>
      <c r="O49" s="272"/>
      <c r="P49" s="124"/>
    </row>
    <row r="50" spans="2:16" ht="12.75" customHeight="1" thickTop="1" x14ac:dyDescent="0.2">
      <c r="D50" s="121"/>
      <c r="E50" s="459">
        <f>+G40-E49</f>
        <v>0</v>
      </c>
      <c r="F50" s="119"/>
      <c r="G50" s="416"/>
      <c r="H50" s="401"/>
      <c r="I50" s="401"/>
      <c r="J50" s="411"/>
      <c r="K50" s="411"/>
      <c r="L50" s="121"/>
      <c r="M50" s="121"/>
      <c r="N50" s="121"/>
      <c r="O50" s="272"/>
      <c r="P50" s="124"/>
    </row>
    <row r="51" spans="2:16" ht="2.25" customHeight="1" x14ac:dyDescent="0.2">
      <c r="B51" s="860"/>
      <c r="C51" s="860"/>
      <c r="D51" s="860"/>
      <c r="E51" s="860"/>
      <c r="F51" s="860"/>
      <c r="G51" s="860"/>
      <c r="H51" s="860"/>
      <c r="I51" s="860"/>
      <c r="J51" s="860"/>
      <c r="K51" s="860"/>
      <c r="L51" s="860"/>
      <c r="M51" s="860"/>
      <c r="N51" s="121"/>
      <c r="O51" s="272"/>
      <c r="P51" s="124"/>
    </row>
    <row r="52" spans="2:16" ht="30" customHeight="1" x14ac:dyDescent="0.2">
      <c r="B52" s="861"/>
      <c r="C52" s="861"/>
      <c r="D52" s="861"/>
      <c r="E52" s="861"/>
      <c r="F52" s="861"/>
      <c r="G52" s="861"/>
      <c r="H52" s="861"/>
      <c r="I52" s="861"/>
      <c r="J52" s="861"/>
      <c r="K52" s="861"/>
      <c r="L52" s="861"/>
      <c r="M52" s="861"/>
      <c r="N52" s="121"/>
      <c r="O52" s="272"/>
      <c r="P52" s="124"/>
    </row>
    <row r="53" spans="2:16" ht="18.75" customHeight="1" x14ac:dyDescent="0.2">
      <c r="C53" s="121"/>
      <c r="E53" s="487"/>
      <c r="F53" s="119"/>
      <c r="G53" s="416"/>
      <c r="H53" s="401"/>
      <c r="I53" s="401"/>
      <c r="J53" s="411"/>
      <c r="K53" s="411"/>
      <c r="L53" s="121"/>
      <c r="M53" s="121"/>
      <c r="N53" s="121"/>
      <c r="O53" s="272"/>
      <c r="P53" s="124"/>
    </row>
    <row r="54" spans="2:16" ht="40.5" customHeight="1" x14ac:dyDescent="0.2">
      <c r="B54" s="862"/>
      <c r="C54" s="862"/>
      <c r="D54" s="862"/>
      <c r="E54" s="862"/>
      <c r="F54" s="862"/>
      <c r="G54" s="862"/>
      <c r="H54" s="862"/>
      <c r="I54" s="862"/>
      <c r="J54" s="862"/>
      <c r="K54" s="862"/>
      <c r="L54" s="862"/>
      <c r="M54" s="862"/>
      <c r="N54" s="121"/>
      <c r="O54" s="272"/>
      <c r="P54" s="124"/>
    </row>
    <row r="55" spans="2:16" ht="24.75" customHeight="1" x14ac:dyDescent="0.2">
      <c r="C55" s="117"/>
      <c r="P55" s="130"/>
    </row>
  </sheetData>
  <mergeCells count="9">
    <mergeCell ref="B51:M51"/>
    <mergeCell ref="B52:M52"/>
    <mergeCell ref="B54:M54"/>
    <mergeCell ref="C1:M1"/>
    <mergeCell ref="A2:M2"/>
    <mergeCell ref="A3:M3"/>
    <mergeCell ref="A4:M4"/>
    <mergeCell ref="C5:M5"/>
    <mergeCell ref="A14:M14"/>
  </mergeCells>
  <pageMargins left="0.15748031496062992" right="0.35433070866141736" top="0.39370078740157483" bottom="0.31496062992125984" header="0.35433070866141736" footer="0.31496062992125984"/>
  <pageSetup scale="76" orientation="portrait" r:id="rId1"/>
  <rowBreaks count="1" manualBreakCount="1">
    <brk id="53" max="16" man="1"/>
  </rowBreaks>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C95E-C365-477D-BF66-7393991BFF0A}">
  <dimension ref="A1:L18"/>
  <sheetViews>
    <sheetView zoomScaleNormal="100" workbookViewId="0">
      <selection activeCell="E13" sqref="E13"/>
    </sheetView>
  </sheetViews>
  <sheetFormatPr baseColWidth="10" defaultColWidth="11.42578125" defaultRowHeight="15" x14ac:dyDescent="0.25"/>
  <cols>
    <col min="1" max="1" width="2.140625" customWidth="1"/>
    <col min="2" max="2" width="12" customWidth="1"/>
    <col min="3" max="3" width="14.85546875" customWidth="1"/>
    <col min="4" max="4" width="13.7109375" style="4" customWidth="1"/>
    <col min="5" max="5" width="15" customWidth="1"/>
    <col min="9" max="9" width="8.5703125" customWidth="1"/>
    <col min="10" max="10" width="16.5703125" customWidth="1"/>
    <col min="12" max="12" width="21.5703125" bestFit="1" customWidth="1"/>
  </cols>
  <sheetData>
    <row r="1" spans="1:12" x14ac:dyDescent="0.25">
      <c r="E1" s="32"/>
    </row>
    <row r="2" spans="1:12" ht="22.5" customHeight="1" x14ac:dyDescent="0.25"/>
    <row r="3" spans="1:12" s="20" customFormat="1" ht="30.75" customHeight="1" x14ac:dyDescent="0.2">
      <c r="A3" s="867" t="s">
        <v>685</v>
      </c>
      <c r="B3" s="867"/>
      <c r="C3" s="867"/>
      <c r="D3" s="867"/>
      <c r="E3" s="867"/>
      <c r="F3" s="867"/>
      <c r="G3" s="867"/>
      <c r="H3" s="867"/>
      <c r="I3" s="867"/>
      <c r="J3" s="867"/>
    </row>
    <row r="4" spans="1:12" s="20" customFormat="1" ht="28.5" customHeight="1" x14ac:dyDescent="0.3">
      <c r="D4" s="116"/>
      <c r="E4" s="45"/>
      <c r="F4" s="868"/>
      <c r="G4" s="868"/>
      <c r="H4" s="868"/>
      <c r="I4" s="868"/>
      <c r="J4" s="45"/>
    </row>
    <row r="5" spans="1:12" s="20" customFormat="1" ht="23.25" customHeight="1" x14ac:dyDescent="0.2">
      <c r="A5" s="869" t="s">
        <v>834</v>
      </c>
      <c r="B5" s="869"/>
      <c r="C5" s="869"/>
      <c r="D5" s="869"/>
      <c r="E5" s="869"/>
      <c r="F5" s="869"/>
      <c r="G5" s="869"/>
      <c r="H5" s="869"/>
      <c r="I5" s="869"/>
      <c r="J5" s="869"/>
      <c r="L5" s="605"/>
    </row>
    <row r="6" spans="1:12" s="20" customFormat="1" ht="32.25" customHeight="1" thickBot="1" x14ac:dyDescent="0.3">
      <c r="D6" s="116"/>
      <c r="E6" s="21"/>
      <c r="F6" s="21"/>
      <c r="G6" s="21"/>
      <c r="H6" s="21"/>
      <c r="I6" s="21"/>
      <c r="J6" s="21"/>
    </row>
    <row r="7" spans="1:12" ht="35.25" customHeight="1" thickBot="1" x14ac:dyDescent="0.3">
      <c r="B7" s="606" t="s">
        <v>127</v>
      </c>
      <c r="C7" s="606" t="s">
        <v>681</v>
      </c>
      <c r="D7" s="606" t="s">
        <v>682</v>
      </c>
      <c r="E7" s="870" t="s">
        <v>683</v>
      </c>
      <c r="F7" s="871"/>
      <c r="G7" s="871"/>
      <c r="H7" s="871"/>
      <c r="I7" s="872"/>
      <c r="J7" s="606" t="s">
        <v>129</v>
      </c>
      <c r="L7" s="248" t="s">
        <v>697</v>
      </c>
    </row>
    <row r="8" spans="1:12" ht="26.25" customHeight="1" x14ac:dyDescent="0.25">
      <c r="B8" s="795">
        <v>45996</v>
      </c>
      <c r="C8" s="657" t="s">
        <v>699</v>
      </c>
      <c r="D8" s="657" t="s">
        <v>700</v>
      </c>
      <c r="E8" s="875" t="s">
        <v>701</v>
      </c>
      <c r="F8" s="875"/>
      <c r="G8" s="875"/>
      <c r="H8" s="875"/>
      <c r="I8" s="875"/>
      <c r="J8" s="796">
        <v>159000</v>
      </c>
      <c r="L8" s="248"/>
    </row>
    <row r="9" spans="1:12" ht="26.25" customHeight="1" thickBot="1" x14ac:dyDescent="0.3">
      <c r="B9" s="582">
        <v>46162</v>
      </c>
      <c r="C9" s="583" t="s">
        <v>974</v>
      </c>
      <c r="D9" s="583" t="s">
        <v>975</v>
      </c>
      <c r="E9" s="873" t="s">
        <v>976</v>
      </c>
      <c r="F9" s="873"/>
      <c r="G9" s="873"/>
      <c r="H9" s="873"/>
      <c r="I9" s="873"/>
      <c r="J9" s="584">
        <v>332050</v>
      </c>
      <c r="L9" s="248"/>
    </row>
    <row r="10" spans="1:12" ht="24" customHeight="1" thickBot="1" x14ac:dyDescent="0.35">
      <c r="E10" s="874" t="s">
        <v>395</v>
      </c>
      <c r="F10" s="874"/>
      <c r="G10" s="874"/>
      <c r="H10" s="874"/>
      <c r="I10" s="874"/>
      <c r="J10" s="310">
        <f>SUM(J8:J9)</f>
        <v>491050</v>
      </c>
      <c r="K10" s="5"/>
    </row>
    <row r="11" spans="1:12" ht="24" customHeight="1" thickTop="1" x14ac:dyDescent="0.3">
      <c r="E11" s="308"/>
      <c r="F11" s="309"/>
      <c r="G11" s="309"/>
      <c r="H11" s="309"/>
      <c r="I11" s="309"/>
      <c r="J11" s="503"/>
      <c r="K11" s="5"/>
    </row>
    <row r="12" spans="1:12" ht="24" customHeight="1" x14ac:dyDescent="0.3">
      <c r="E12" s="308"/>
      <c r="F12" s="309"/>
      <c r="G12" s="309"/>
      <c r="H12" s="309"/>
      <c r="I12" s="309"/>
      <c r="J12" s="503"/>
      <c r="K12" s="5"/>
    </row>
    <row r="13" spans="1:12" ht="24" customHeight="1" x14ac:dyDescent="0.3">
      <c r="E13" s="308"/>
      <c r="F13" s="309"/>
      <c r="G13" s="309"/>
      <c r="H13" s="309"/>
      <c r="I13" s="309"/>
      <c r="J13" s="503"/>
      <c r="K13" s="5"/>
    </row>
    <row r="14" spans="1:12" ht="24" customHeight="1" x14ac:dyDescent="0.3">
      <c r="E14" s="308"/>
      <c r="F14" s="309"/>
      <c r="G14" s="309"/>
      <c r="H14" s="309"/>
      <c r="I14" s="309"/>
      <c r="J14" s="503"/>
      <c r="K14" s="5"/>
    </row>
    <row r="15" spans="1:12" x14ac:dyDescent="0.25">
      <c r="E15" s="32"/>
    </row>
    <row r="17" spans="2:9" ht="47.25" x14ac:dyDescent="0.6">
      <c r="B17" s="815" t="s">
        <v>659</v>
      </c>
      <c r="C17" s="815"/>
      <c r="E17" s="223" t="s">
        <v>608</v>
      </c>
      <c r="I17" t="s">
        <v>0</v>
      </c>
    </row>
    <row r="18" spans="2:9" ht="14.25" customHeight="1" x14ac:dyDescent="0.25">
      <c r="B18" s="815" t="s">
        <v>84</v>
      </c>
      <c r="C18" s="815"/>
    </row>
  </sheetData>
  <mergeCells count="9">
    <mergeCell ref="B18:C18"/>
    <mergeCell ref="A3:J3"/>
    <mergeCell ref="F4:I4"/>
    <mergeCell ref="A5:J5"/>
    <mergeCell ref="E7:I7"/>
    <mergeCell ref="B17:C17"/>
    <mergeCell ref="E9:I9"/>
    <mergeCell ref="E10:I10"/>
    <mergeCell ref="E8:I8"/>
  </mergeCells>
  <pageMargins left="0.51181102362204722" right="0.70866141732283472" top="0.74803149606299213" bottom="0.74803149606299213" header="0.31496062992125984" footer="0.31496062992125984"/>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7 m O k V N 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O 5 j p 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Y 6 R U K I p H u A 4 A A A A R A A A A E w A c A E Z v c m 1 1 b G F z L 1 N l Y 3 R p b 2 4 x L m 0 g o h g A K K A U A A A A A A A A A A A A A A A A A A A A A A A A A A A A K 0 5 N L s n M z 1 M I h t C G 1 g B Q S w E C L Q A U A A I A C A D u Y 6 R U 2 F 6 J 0 6 I A A A D 2 A A A A E g A A A A A A A A A A A A A A A A A A A A A A Q 2 9 u Z m l n L 1 B h Y 2 t h Z 2 U u e G 1 s U E s B A i 0 A F A A C A A g A 7 m O k V A / K 6 a u k A A A A 6 Q A A A B M A A A A A A A A A A A A A A A A A 7 g A A A F t D b 2 5 0 Z W 5 0 X 1 R 5 c G V z X S 5 4 b W x Q S w E C L Q A U A A I A C A D u Y 6 R U 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K t 0 s z Q t E 6 w W 0 m p z 1 + i z A A A A A A C A A A A A A A Q Z g A A A A E A A C A A A A C O T o x L W B Z o q x p q N n k 0 V 2 7 a 2 Y G R e w u m m 2 / H I Z C v J T x U P Q A A A A A O g A A A A A I A A C A A A A A k N P d B o t b / W E t 0 r n H m w h x U Z a R G W l T 2 n o 1 K Y 1 7 v V J b c c V A A A A A 9 X r F 4 H h D Y w W t w S k H W + L o o H r O e o y m 8 x 8 Y 4 t T 3 s 2 2 K c g g Q / O Y y B g K m V b l 7 g R I 6 9 T M t A / D V p V l i Q 3 N z / z R U N h 4 4 x 8 O 8 y D + r b 8 q i U H m 9 G M x 1 h L U A A A A A O w w c H k e C N R w q I 9 R m f u v O o X x H a B c 8 E 3 l V T W v Y d 0 s z w H o e 4 u U z M N n G v i 3 k n N e 5 5 E z 5 X t a e T q K r k 6 K k d v L Y E A W j t < / D a t a M a s h u p > 
</file>

<file path=customXml/itemProps1.xml><?xml version="1.0" encoding="utf-8"?>
<ds:datastoreItem xmlns:ds="http://schemas.openxmlformats.org/officeDocument/2006/customXml" ds:itemID="{206DF4C6-2815-48BB-9F9E-0C5F6CAC474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11</vt:i4>
      </vt:variant>
    </vt:vector>
  </HeadingPairs>
  <TitlesOfParts>
    <vt:vector size="31" baseType="lpstr">
      <vt:lpstr>Ingresos</vt:lpstr>
      <vt:lpstr>ESTADO</vt:lpstr>
      <vt:lpstr>Mayo</vt:lpstr>
      <vt:lpstr>Balanza Con</vt:lpstr>
      <vt:lpstr>ED</vt:lpstr>
      <vt:lpstr>Pago Mayo</vt:lpstr>
      <vt:lpstr>Pago Mayo (2)</vt:lpstr>
      <vt:lpstr>Pago Abril</vt:lpstr>
      <vt:lpstr>CxC 05</vt:lpstr>
      <vt:lpstr>Inventario </vt:lpstr>
      <vt:lpstr>Gastos pag. x ant.</vt:lpstr>
      <vt:lpstr>SEGURO</vt:lpstr>
      <vt:lpstr>Fianzas y Depositos</vt:lpstr>
      <vt:lpstr>CXP 5</vt:lpstr>
      <vt:lpstr>CXP 4</vt:lpstr>
      <vt:lpstr>CP Mayo</vt:lpstr>
      <vt:lpstr>CP Abril</vt:lpstr>
      <vt:lpstr>Caja Chica DE</vt:lpstr>
      <vt:lpstr>Caja Chica Adm</vt:lpstr>
      <vt:lpstr>Hoja3 (2)</vt:lpstr>
      <vt:lpstr>'Balanza Con'!Área_de_impresión</vt:lpstr>
      <vt:lpstr>'CP Abril'!Área_de_impresión</vt:lpstr>
      <vt:lpstr>'CP Mayo'!Área_de_impresión</vt:lpstr>
      <vt:lpstr>'CxC 05'!Área_de_impresión</vt:lpstr>
      <vt:lpstr>ED!Área_de_impresión</vt:lpstr>
      <vt:lpstr>Ingresos!Área_de_impresión</vt:lpstr>
      <vt:lpstr>Mayo!Área_de_impresión</vt:lpstr>
      <vt:lpstr>'Pago Abril'!Área_de_impresión</vt:lpstr>
      <vt:lpstr>'Pago Mayo'!Área_de_impresión</vt:lpstr>
      <vt:lpstr>'Pago Mayo (2)'!Área_de_impresión</vt:lpstr>
      <vt:lpstr>ED!Títulos_a_imprimir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Usuario1</dc:creator>
  <cp:lastModifiedBy>CABREU</cp:lastModifiedBy>
  <cp:lastPrinted>2026-06-10T13:57:42Z</cp:lastPrinted>
  <dcterms:created xsi:type="dcterms:W3CDTF">2019-08-02T21:23:16Z</dcterms:created>
  <dcterms:modified xsi:type="dcterms:W3CDTF">2026-06-10T13:58:02Z</dcterms:modified>
</cp:coreProperties>
</file>